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C:\Users\POkeefe\Downloads\"/>
    </mc:Choice>
  </mc:AlternateContent>
  <xr:revisionPtr revIDLastSave="0" documentId="8_{A454F4C5-9B6D-4523-8ED2-A946A3F69F62}" xr6:coauthVersionLast="47" xr6:coauthVersionMax="47" xr10:uidLastSave="{00000000-0000-0000-0000-000000000000}"/>
  <bookViews>
    <workbookView xWindow="28680" yWindow="-120" windowWidth="29040" windowHeight="15840" tabRatio="889" activeTab="7" xr2:uid="{DD702DB3-EFC1-4883-AFCA-BE598BF6EE29}"/>
  </bookViews>
  <sheets>
    <sheet name="Instructions" sheetId="22" r:id="rId1"/>
    <sheet name="Input" sheetId="38" r:id="rId2"/>
    <sheet name="NEBS Actuals" sheetId="43" r:id="rId3"/>
    <sheet name="NEBS 130" sheetId="44" r:id="rId4"/>
    <sheet name="New Staff Software" sheetId="42" r:id="rId5"/>
    <sheet name="Summary Template" sheetId="24" r:id="rId6"/>
    <sheet name="start" sheetId="51" r:id="rId7"/>
    <sheet name="DU E300" sheetId="53" r:id="rId8"/>
    <sheet name="finish" sheetId="52" r:id="rId9"/>
  </sheets>
  <externalReferences>
    <externalReference r:id="rId10"/>
    <externalReference r:id="rId11"/>
    <externalReference r:id="rId12"/>
  </externalReferences>
  <definedNames>
    <definedName name="\A" localSheetId="7">#REF!</definedName>
    <definedName name="\A" localSheetId="5">#REF!</definedName>
    <definedName name="\A">#REF!</definedName>
    <definedName name="_1PAGE_1" localSheetId="7">#REF!</definedName>
    <definedName name="_1PAGE_1" localSheetId="5">#REF!</definedName>
    <definedName name="_1PAGE_1">#REF!</definedName>
    <definedName name="_2PAGE_2" localSheetId="7">#REF!</definedName>
    <definedName name="_2PAGE_2" localSheetId="5">#REF!</definedName>
    <definedName name="_2PAGE_2">#REF!</definedName>
    <definedName name="_Key1" localSheetId="7" hidden="1">#REF!</definedName>
    <definedName name="_Key1" localSheetId="5" hidden="1">#REF!</definedName>
    <definedName name="_Key1" hidden="1">#REF!</definedName>
    <definedName name="_Order1" hidden="1">255</definedName>
    <definedName name="_Order2" hidden="1">255</definedName>
    <definedName name="_Sort" localSheetId="7" hidden="1">#REF!</definedName>
    <definedName name="_Sort" localSheetId="5" hidden="1">#REF!</definedName>
    <definedName name="_Sort" hidden="1">#REF!</definedName>
    <definedName name="A_A8.A_B35" localSheetId="7">#REF!</definedName>
    <definedName name="A_A8.A_B35" localSheetId="5">#REF!</definedName>
    <definedName name="A_A8.A_B35">#REF!</definedName>
    <definedName name="bdg" localSheetId="7">#REF!</definedName>
    <definedName name="bdg" localSheetId="5">#REF!</definedName>
    <definedName name="bdg">#REF!</definedName>
    <definedName name="beddays" localSheetId="7">#REF!</definedName>
    <definedName name="beddays" localSheetId="5">#REF!</definedName>
    <definedName name="beddays">#REF!</definedName>
    <definedName name="cola2" localSheetId="7">#REF!</definedName>
    <definedName name="cola2" localSheetId="5">#REF!</definedName>
    <definedName name="cola2">#REF!</definedName>
    <definedName name="COVER" localSheetId="7">[1]SUM!#REF!</definedName>
    <definedName name="COVER" localSheetId="5">[1]SUM!#REF!</definedName>
    <definedName name="COVER">[1]SUM!#REF!</definedName>
    <definedName name="DOWNLOAD" localSheetId="7">#REF!</definedName>
    <definedName name="DOWNLOAD" localSheetId="5">#REF!</definedName>
    <definedName name="DOWNLOAD">#REF!</definedName>
    <definedName name="EquipAdmin" localSheetId="7">#REF!</definedName>
    <definedName name="EquipAdmin" localSheetId="5">#REF!</definedName>
    <definedName name="EquipAdmin">#REF!</definedName>
    <definedName name="EquipSup" localSheetId="7">#REF!</definedName>
    <definedName name="EquipSup" localSheetId="5">#REF!</definedName>
    <definedName name="EquipSup">#REF!</definedName>
    <definedName name="five">'[2]System Costs FY02'!$B$11</definedName>
    <definedName name="Location" localSheetId="7">Input!$C$46:$C$50</definedName>
    <definedName name="Location">#REF!</definedName>
    <definedName name="long3" hidden="1">{"E375(1)-00",#N/A,FALSE,"E1";"E375(1)-01",#N/A,FALSE,"E1";"E375(1)-03",#N/A,FALSE,"E1";"E375(1)-04",#N/A,FALSE,"E1";"E375(1)-05",#N/A,FALSE,"E1";"E375(1)-07",#N/A,FALSE,"E1";"E375(1)-26",#N/A,FALSE,"E1";"E375(1)-30",#N/A,FALSE,"E1";"E375(1)-59",#N/A,FALSE,"E1";"E375(1)-88",#N/A,FALSE,"E1";"E375(1)-89",#N/A,FALSE,"E1";"375(1)-TOTEXP",#N/A,FALSE,"E1";"E125(1)-00",#N/A,FALSE,"E2";"E125(1)-01",#N/A,FALSE,"E2";"E125(1)-04",#N/A,FALSE,"E2";"E275-00",#N/A,FALSE,"E3";"E275-04",#N/A,FALSE,"E3";"E375(2)-00",#N/A,FALSE,"E4";"E375(3)-03",#N/A,FALSE,"E4";"E375(3)-04",#N/A,FALSE,"E4";"E375(3)-00",#N/A,FALSE,"E4";"E375(3)-03",#N/A,FALSE,"E5";"E375(3)-04",#N/A,FALSE,"E5";"E375(3)-05",#N/A,FALSE,"E5";"E375(4)-00",#N/A,FALSE,"E6";"E375(4)-07",#N/A,FALSE,"E6";"E175-00",#N/A,FALSE,"E7";"E175-30",#N/A,FALSE,"E7";"E125(2)-00",#N/A,FALSE,"E8";"E125(2)-01",#N/A,FALSE,"E8";"E125(2)-04",#N/A,FALSE,"E8";"E125(2)-05",#N/A,FALSE,"E8";"E125(2)-07",#N/A,FALSE,"E8";"E125(2)-26",#N/A,FALSE,"E8";"E125(2)-30",#N/A,FALSE,"E8";"E250-00",#N/A,FALSE,"E9";"E250-04",#N/A,FALSE,"E9";"E710-00",#N/A,FALSE,"E10";"E710-04",#N/A,FALSE,"E10";"E710-05",#N/A,FALSE,"E10";"E720-00",#N/A,FALSE,"E11";"E720-05",#N/A,FALSE,"E11";"E125(3)-00",#N/A,FALSE,"E12";"E125(3)-04",#N/A,FALSE,"E12"}</definedName>
    <definedName name="long4" hidden="1">{"E375(1)-00",#N/A,FALSE,"E1";"E375(1)-01",#N/A,FALSE,"E1";"E375(1)-03",#N/A,FALSE,"E1";"E375(1)-04",#N/A,FALSE,"E1";"E375(1)-05",#N/A,FALSE,"E1";"E375(1)-07",#N/A,FALSE,"E1";"E375(1)-26",#N/A,FALSE,"E1";"E375(1)-30",#N/A,FALSE,"E1";"E375(1)-59",#N/A,FALSE,"E1";"E375(1)-88",#N/A,FALSE,"E1";"E375(1)-89",#N/A,FALSE,"E1";"375(1)-TOTEXP",#N/A,FALSE,"E1";"E125(1)-00",#N/A,FALSE,"E2";"E125(1)-01",#N/A,FALSE,"E2";"E125(1)-04",#N/A,FALSE,"E2";"E275-00",#N/A,FALSE,"E3";"E275-04",#N/A,FALSE,"E3";"E375(2)-00",#N/A,FALSE,"E4";"E375(3)-03",#N/A,FALSE,"E4";"E375(3)-04",#N/A,FALSE,"E4";"E375(3)-00",#N/A,FALSE,"E4";"E375(3)-03",#N/A,FALSE,"E5";"E375(3)-04",#N/A,FALSE,"E5";"E375(3)-05",#N/A,FALSE,"E5";"E375(4)-00",#N/A,FALSE,"E6";"E375(4)-07",#N/A,FALSE,"E6";"E175-00",#N/A,FALSE,"E7";"E175-30",#N/A,FALSE,"E7";"E125(2)-00",#N/A,FALSE,"E8";"E125(2)-01",#N/A,FALSE,"E8";"E125(2)-04",#N/A,FALSE,"E8";"E125(2)-05",#N/A,FALSE,"E8";"E125(2)-07",#N/A,FALSE,"E8";"E125(2)-26",#N/A,FALSE,"E8";"E125(2)-30",#N/A,FALSE,"E8";"E250-00",#N/A,FALSE,"E9";"E250-04",#N/A,FALSE,"E9";"E710-00",#N/A,FALSE,"E10";"E710-04",#N/A,FALSE,"E10";"E710-05",#N/A,FALSE,"E10";"E720-00",#N/A,FALSE,"E11";"E720-05",#N/A,FALSE,"E11";"E125(3)-00",#N/A,FALSE,"E12";"E125(3)-04",#N/A,FALSE,"E12"}</definedName>
    <definedName name="Medical___16_547_per_day" localSheetId="7">#REF!</definedName>
    <definedName name="Medical___16_547_per_day" localSheetId="5">#REF!</definedName>
    <definedName name="Medical___16_547_per_day">#REF!</definedName>
    <definedName name="new" hidden="1">{"BASE 00 REVENUE",#N/A,FALSE,"BASE";"B01",#N/A,FALSE,"BASE";"B02",#N/A,FALSE,"BASE";"B03",#N/A,FALSE,"BASE";"B04",#N/A,FALSE,"BASE";"B05",#N/A,FALSE,"BASE";"B07",#N/A,FALSE,"BASE";"B08",#N/A,FALSE,"BASE";"B10",#N/A,FALSE,"BASE";"B11",#N/A,FALSE,"BASE";"B16",#N/A,FALSE,"BASE";"B17",#N/A,FALSE,"BASE";"B20",#N/A,FALSE,"BASE";"B21",#N/A,FALSE,"BASE";"B22",#N/A,FALSE,"BASE";"B23",#N/A,FALSE,"BASE";"B25",#N/A,FALSE,"BASE";"B26",#N/A,FALSE,"BASE";"B30",#N/A,FALSE,"BASE";"B37",#N/A,FALSE,"BASE";"B43",#N/A,FALSE,"BASE";"B59",#N/A,FALSE,"BASE";"B88",#N/A,FALSE,"BASE";"B89",#N/A,FALSE,"BASE";"BTOTAL",#N/A,FALSE,"BASE"}</definedName>
    <definedName name="onethreeonehalf">'[3]System Costs FY02'!$B$12</definedName>
    <definedName name="PAGE" localSheetId="7">#REF!</definedName>
    <definedName name="PAGE" localSheetId="5">#REF!</definedName>
    <definedName name="PAGE">#REF!</definedName>
    <definedName name="PAGE1" localSheetId="7">#REF!</definedName>
    <definedName name="PAGE1" localSheetId="5">#REF!</definedName>
    <definedName name="PAGE1">#REF!</definedName>
    <definedName name="partialbeddays" localSheetId="7">#REF!</definedName>
    <definedName name="partialbeddays" localSheetId="5">#REF!</definedName>
    <definedName name="partialbeddays">#REF!</definedName>
    <definedName name="partialyear" localSheetId="7">#REF!</definedName>
    <definedName name="partialyear" localSheetId="5">#REF!</definedName>
    <definedName name="partialyear">#REF!</definedName>
    <definedName name="_xlnm.Print_Area" localSheetId="7">'DU E300'!$A$1:$L$124</definedName>
    <definedName name="_xlnm.Print_Area" localSheetId="0">Instructions!$A$1:$B$53</definedName>
    <definedName name="_xlnm.Print_Area" localSheetId="5">'Summary Template'!$A$1:$F$24</definedName>
    <definedName name="_xlnm.Print_Titles" localSheetId="7">'DU E300'!$1:$7</definedName>
    <definedName name="Printer" localSheetId="7">#REF!</definedName>
    <definedName name="Printer" localSheetId="5">#REF!</definedName>
    <definedName name="Printer">#REF!</definedName>
    <definedName name="rate30" localSheetId="7">#REF!</definedName>
    <definedName name="rate30" localSheetId="5">#REF!</definedName>
    <definedName name="rate30">#REF!</definedName>
    <definedName name="swstaff" localSheetId="7">#REF!</definedName>
    <definedName name="swstaff" localSheetId="5">#REF!</definedName>
    <definedName name="swstaff">#REF!</definedName>
    <definedName name="wrn.BASE." hidden="1">{"BASE 00 REVENUE",#N/A,FALSE,"BASE";"B01",#N/A,FALSE,"BASE";"B03",#N/A,FALSE,"BASE";"B04",#N/A,FALSE,"BASE";"B05",#N/A,FALSE,"BASE";"B08",#N/A,FALSE,"BASE";"B07",#N/A,FALSE,"BASE";"B16",#N/A,FALSE,"BASE";"B17",#N/A,FALSE,"BASE";"B18",#N/A,FALSE,"BASE";"B19",#N/A,FALSE,"BASE";"B20",#N/A,FALSE,"BASE";"B26",#N/A,FALSE,"BASE";"B30",#N/A,FALSE,"BASE";"36",#N/A,FALSE,"BASE";"B40",#N/A,FALSE,"BASE";"B59",#N/A,FALSE,"BASE";"B88",#N/A,FALSE,"BASE";"B89",#N/A,FALSE,"BASE";"BTOTAL",#N/A,FALSE,"BASE"}</definedName>
    <definedName name="wrn.BASE._.SECTION." hidden="1">{"BASE 00 REVENUE",#N/A,FALSE,"BASE";"B01",#N/A,FALSE,"BASE";"B02",#N/A,FALSE,"BASE";"B03",#N/A,FALSE,"BASE";"B04",#N/A,FALSE,"BASE";"B05",#N/A,FALSE,"BASE";"B07",#N/A,FALSE,"BASE";"B08",#N/A,FALSE,"BASE";"B10",#N/A,FALSE,"BASE";"B11",#N/A,FALSE,"BASE";"B16",#N/A,FALSE,"BASE";"B17",#N/A,FALSE,"BASE";"B20",#N/A,FALSE,"BASE";"B21",#N/A,FALSE,"BASE";"B22",#N/A,FALSE,"BASE";"B23",#N/A,FALSE,"BASE";"B25",#N/A,FALSE,"BASE";"B26",#N/A,FALSE,"BASE";"B30",#N/A,FALSE,"BASE";"B37",#N/A,FALSE,"BASE";"B43",#N/A,FALSE,"BASE";"B59",#N/A,FALSE,"BASE";"B88",#N/A,FALSE,"BASE";"B89",#N/A,FALSE,"BASE";"BTOTAL",#N/A,FALSE,"BASE"}</definedName>
    <definedName name="wrn.ENHANCEMENTS." hidden="1">{"E375(1)-00",#N/A,FALSE,"E1";"E375(1)-01",#N/A,FALSE,"E1";"E375(1)-03",#N/A,FALSE,"E1";"E375(1)-04",#N/A,FALSE,"E1";"E375(1)-05",#N/A,FALSE,"E1";"E375(1)-07",#N/A,FALSE,"E1";"E375(1)-26",#N/A,FALSE,"E1";"E375(1)-30",#N/A,FALSE,"E1";"E375(1)-59",#N/A,FALSE,"E1";"E375(1)-88",#N/A,FALSE,"E1";"E375(1)-89",#N/A,FALSE,"E1";"375(1)-TOTEXP",#N/A,FALSE,"E1";"E125(1)-00",#N/A,FALSE,"E2";"E125(1)-01",#N/A,FALSE,"E2";"E125(1)-04",#N/A,FALSE,"E2";"E275-00",#N/A,FALSE,"E3";"E275-04",#N/A,FALSE,"E3";"E375(2)-00",#N/A,FALSE,"E4";"E375(3)-03",#N/A,FALSE,"E4";"E375(3)-04",#N/A,FALSE,"E4";"E375(3)-00",#N/A,FALSE,"E4";"E375(3)-03",#N/A,FALSE,"E5";"E375(3)-04",#N/A,FALSE,"E5";"E375(3)-05",#N/A,FALSE,"E5";"E375(4)-00",#N/A,FALSE,"E6";"E375(4)-07",#N/A,FALSE,"E6";"E175-00",#N/A,FALSE,"E7";"E175-30",#N/A,FALSE,"E7";"E125(2)-00",#N/A,FALSE,"E8";"E125(2)-01",#N/A,FALSE,"E8";"E125(2)-04",#N/A,FALSE,"E8";"E125(2)-05",#N/A,FALSE,"E8";"E125(2)-07",#N/A,FALSE,"E8";"E125(2)-26",#N/A,FALSE,"E8";"E125(2)-30",#N/A,FALSE,"E8";"E250-00",#N/A,FALSE,"E9";"E250-04",#N/A,FALSE,"E9";"E710-00",#N/A,FALSE,"E10";"E710-04",#N/A,FALSE,"E10";"E710-05",#N/A,FALSE,"E10";"E720-00",#N/A,FALSE,"E11";"E720-05",#N/A,FALSE,"E11";"E125(3)-00",#N/A,FALSE,"E12";"E125(3)-04",#N/A,FALSE,"E12"}</definedName>
    <definedName name="wrn.long" hidden="1">{"M100-00",#N/A,FALSE,"M100";"M100-04",#N/A,FALSE,"M100";"M100-59",#N/A,FALSE,"M100";"M100-TOTAL",#N/A,FALSE,"M100";"M200-00",#N/A,FALSE,"M200";"M200-01",#N/A,FALSE,"M200";"M200-03",#N/A,FALSE,"M200";"M200-04",#N/A,FALSE,"M200";"M200-05",#N/A,FALSE,"M200";"M200-07",#N/A,FALSE,"M200";"M200-26",#N/A,FALSE,"M200";"M200-59",#N/A,FALSE,"M200";"M200-30",#N/A,FALSE,"M200";"M200-88",#N/A,FALSE,"M200";"M200-89",#N/A,FALSE,"M200";"M200-TOTAL",#N/A,FALSE,"M200"}</definedName>
    <definedName name="wrn.MAINT." hidden="1">{"M100-00",#N/A,FALSE,"M100";"M100-04",#N/A,FALSE,"M100";"M100-59",#N/A,FALSE,"M100";"M100-TOTAL",#N/A,FALSE,"M100";"M200-00",#N/A,FALSE,"M200";"M200-01",#N/A,FALSE,"M200";"M200-03",#N/A,FALSE,"M200";"M200-04",#N/A,FALSE,"M200";"M200-05",#N/A,FALSE,"M200";"M200-07",#N/A,FALSE,"M200";"M200-26",#N/A,FALSE,"M200";"M200-59",#N/A,FALSE,"M200";"M200-30",#N/A,FALSE,"M200";"M200-88",#N/A,FALSE,"M200";"M200-89",#N/A,FALSE,"M200";"M200-TOTAL",#N/A,FALSE,"M200"}</definedName>
    <definedName name="wrn.mainta." hidden="1">{"M100-00",#N/A,FALSE,"M100";"M100-04",#N/A,FALSE,"M100";"M100-59",#N/A,FALSE,"M100";"M100-TOTAL",#N/A,FALSE,"M100";"M200-00",#N/A,FALSE,"M200";"M200-01",#N/A,FALSE,"M200";"M200-03",#N/A,FALSE,"M200";"M200-04",#N/A,FALSE,"M200";"M200-05",#N/A,FALSE,"M200";"M200-07",#N/A,FALSE,"M200";"M200-26",#N/A,FALSE,"M200";"M200-59",#N/A,FALSE,"M200";"M200-30",#N/A,FALSE,"M200";"M200-88",#N/A,FALSE,"M200";"M200-89",#N/A,FALSE,"M200";"M200-TOTAL",#N/A,FALSE,"M200"}</definedName>
    <definedName name="wrn.NARRATIVE._.PROGRAM._.DESCRIPTION." hidden="1">{"PROGSTMT",#N/A,FALSE,"PROGSTMT"}</definedName>
    <definedName name="wrn.Operating._.Statement." hidden="1">{"Surplus",#N/A,TRUE,"Surplus";"12ths",#N/A,TRUE,"12ths";"Main Statement",#N/A,TRUE,"Main Statement"}</definedName>
    <definedName name="wrn.PROGSTMT." hidden="1">{"PROGSTMT",#N/A,FALSE,"PROGSTMT"}</definedName>
    <definedName name="YEARCOST" localSheetId="7">#REF!</definedName>
    <definedName name="YEARCOST" localSheetId="5">#REF!</definedName>
    <definedName name="YEARCOST">#REF!</definedName>
  </definedNames>
  <calcPr calcId="191028"/>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53" l="1"/>
  <c r="C17" i="53"/>
  <c r="E15" i="53"/>
  <c r="C15" i="53"/>
  <c r="D63" i="53"/>
  <c r="E63" i="53" s="1"/>
  <c r="L121" i="53"/>
  <c r="K121" i="53"/>
  <c r="F93" i="53"/>
  <c r="G93" i="53" s="1"/>
  <c r="F92" i="53"/>
  <c r="G92" i="53" s="1"/>
  <c r="H63" i="53"/>
  <c r="G63" i="53"/>
  <c r="H71" i="53"/>
  <c r="G71" i="53"/>
  <c r="B5" i="53" l="1"/>
  <c r="E80" i="53"/>
  <c r="E79" i="53"/>
  <c r="E78" i="53"/>
  <c r="E77" i="53"/>
  <c r="G120" i="53"/>
  <c r="F120" i="53"/>
  <c r="AA11" i="44" l="1"/>
  <c r="AB11" i="44" s="1"/>
  <c r="L119" i="53" l="1"/>
  <c r="K119" i="53"/>
  <c r="E119" i="53"/>
  <c r="E118" i="53"/>
  <c r="E117" i="53"/>
  <c r="F116" i="53"/>
  <c r="G116" i="53" s="1"/>
  <c r="E116" i="53"/>
  <c r="F115" i="53"/>
  <c r="G115" i="53" s="1"/>
  <c r="E115" i="53"/>
  <c r="F114" i="53"/>
  <c r="G114" i="53" s="1"/>
  <c r="E114" i="53"/>
  <c r="E106" i="53"/>
  <c r="D106" i="53"/>
  <c r="E101" i="53"/>
  <c r="D101" i="53"/>
  <c r="E100" i="53"/>
  <c r="D100" i="53"/>
  <c r="E93" i="53"/>
  <c r="L93" i="53" s="1"/>
  <c r="E92" i="53"/>
  <c r="E81" i="53"/>
  <c r="G81" i="53" s="1"/>
  <c r="L81" i="53" s="1"/>
  <c r="L80" i="53"/>
  <c r="G80" i="53"/>
  <c r="G79" i="53"/>
  <c r="L79" i="53" s="1"/>
  <c r="L78" i="53"/>
  <c r="K78" i="53"/>
  <c r="G77" i="53"/>
  <c r="L77" i="53" s="1"/>
  <c r="F71" i="53"/>
  <c r="L71" i="53" s="1"/>
  <c r="D66" i="53"/>
  <c r="E66" i="53" s="1"/>
  <c r="D65" i="53"/>
  <c r="E65" i="53" s="1"/>
  <c r="F65" i="53" s="1"/>
  <c r="D64" i="53"/>
  <c r="E64" i="53" s="1"/>
  <c r="D62" i="53"/>
  <c r="E62" i="53" s="1"/>
  <c r="F62" i="53" s="1"/>
  <c r="D61" i="53"/>
  <c r="E61" i="53" s="1"/>
  <c r="F55" i="53"/>
  <c r="E55" i="53"/>
  <c r="F54" i="53"/>
  <c r="E54" i="53"/>
  <c r="D47" i="53"/>
  <c r="E47" i="53" s="1"/>
  <c r="D46" i="53"/>
  <c r="D45" i="53"/>
  <c r="D44" i="53"/>
  <c r="E44" i="53" s="1"/>
  <c r="E18" i="53"/>
  <c r="C18" i="53"/>
  <c r="E12" i="53"/>
  <c r="L97" i="53" s="1"/>
  <c r="C12" i="53"/>
  <c r="K97" i="53" s="1"/>
  <c r="B10" i="53"/>
  <c r="F44" i="53" s="1"/>
  <c r="B9" i="53"/>
  <c r="F63" i="53" s="1"/>
  <c r="H6" i="53"/>
  <c r="H5" i="53"/>
  <c r="B4" i="53"/>
  <c r="B3" i="53"/>
  <c r="B2" i="53"/>
  <c r="B1" i="53"/>
  <c r="D20" i="42"/>
  <c r="C20" i="42"/>
  <c r="F102" i="53"/>
  <c r="G102" i="53"/>
  <c r="G106" i="53"/>
  <c r="H54" i="53"/>
  <c r="C13" i="53"/>
  <c r="H64" i="53"/>
  <c r="H65" i="53"/>
  <c r="G62" i="53"/>
  <c r="F100" i="53"/>
  <c r="G56" i="53"/>
  <c r="G55" i="53"/>
  <c r="F106" i="53"/>
  <c r="H62" i="53"/>
  <c r="H61" i="53"/>
  <c r="E13" i="53"/>
  <c r="B8" i="53"/>
  <c r="H66" i="53"/>
  <c r="H55" i="53"/>
  <c r="G54" i="53"/>
  <c r="G66" i="53"/>
  <c r="F101" i="53"/>
  <c r="G64" i="53"/>
  <c r="G65" i="53"/>
  <c r="G61" i="53"/>
  <c r="G101" i="53"/>
  <c r="G100" i="53"/>
  <c r="L116" i="53" l="1"/>
  <c r="K63" i="53"/>
  <c r="L63" i="53"/>
  <c r="L51" i="53"/>
  <c r="L115" i="53"/>
  <c r="K89" i="53"/>
  <c r="K51" i="53"/>
  <c r="L89" i="53"/>
  <c r="E120" i="53"/>
  <c r="L120" i="53" s="1"/>
  <c r="F64" i="53"/>
  <c r="K64" i="53" s="1"/>
  <c r="F47" i="53"/>
  <c r="G47" i="53" s="1"/>
  <c r="K117" i="53"/>
  <c r="L114" i="53"/>
  <c r="F61" i="53"/>
  <c r="K61" i="53" s="1"/>
  <c r="F66" i="53"/>
  <c r="K66" i="53" s="1"/>
  <c r="G44" i="53"/>
  <c r="K116" i="53"/>
  <c r="K77" i="53"/>
  <c r="K79" i="53"/>
  <c r="K80" i="53"/>
  <c r="K114" i="53"/>
  <c r="L55" i="53"/>
  <c r="L106" i="53"/>
  <c r="K62" i="53"/>
  <c r="K100" i="53"/>
  <c r="L62" i="53"/>
  <c r="K55" i="53"/>
  <c r="L100" i="53"/>
  <c r="K65" i="53"/>
  <c r="L65" i="53"/>
  <c r="D13" i="53"/>
  <c r="K54" i="53"/>
  <c r="K56" i="53"/>
  <c r="K101" i="53"/>
  <c r="L92" i="53"/>
  <c r="L94" i="53" s="1"/>
  <c r="E16" i="53" s="1"/>
  <c r="F16" i="53" s="1"/>
  <c r="L101" i="53"/>
  <c r="D18" i="53"/>
  <c r="F18" i="53"/>
  <c r="L54" i="53"/>
  <c r="F13" i="53"/>
  <c r="K106" i="53"/>
  <c r="L82" i="53"/>
  <c r="G78" i="53"/>
  <c r="E46" i="53"/>
  <c r="L42" i="53"/>
  <c r="E45" i="53"/>
  <c r="K71" i="53"/>
  <c r="K81" i="53"/>
  <c r="L111" i="53"/>
  <c r="K93" i="53"/>
  <c r="L117" i="53"/>
  <c r="K42" i="53"/>
  <c r="K111" i="53"/>
  <c r="K115" i="53"/>
  <c r="F45" i="53"/>
  <c r="E82" i="53"/>
  <c r="G82" i="53" s="1"/>
  <c r="F46" i="53"/>
  <c r="H56" i="53"/>
  <c r="K120" i="53" l="1"/>
  <c r="L61" i="53"/>
  <c r="K67" i="53"/>
  <c r="L64" i="53"/>
  <c r="G46" i="53"/>
  <c r="L66" i="53"/>
  <c r="G45" i="53"/>
  <c r="K82" i="53"/>
  <c r="L56" i="53"/>
  <c r="L118" i="53"/>
  <c r="L122" i="53" s="1"/>
  <c r="K118" i="53"/>
  <c r="K122" i="53" l="1"/>
  <c r="L67" i="53"/>
  <c r="L87" i="53" s="1"/>
  <c r="F15" i="53" s="1"/>
  <c r="K87" i="53"/>
  <c r="D15" i="53" s="1"/>
  <c r="D11" i="42" l="1"/>
  <c r="C11" i="42"/>
  <c r="D102" i="53" l="1"/>
  <c r="K102" i="53" s="1"/>
  <c r="K109" i="53" s="1"/>
  <c r="D17" i="53" s="1"/>
  <c r="E102" i="53"/>
  <c r="L102" i="53" s="1"/>
  <c r="L109" i="53" s="1"/>
  <c r="F17" i="53" s="1"/>
  <c r="B7" i="24" l="1"/>
  <c r="E13" i="24"/>
  <c r="F13" i="24"/>
  <c r="F8" i="24"/>
  <c r="E8" i="24"/>
  <c r="AA10" i="44"/>
  <c r="H47" i="53" l="1"/>
  <c r="K47" i="53" s="1"/>
  <c r="H44" i="53"/>
  <c r="H45" i="53"/>
  <c r="K45" i="53" s="1"/>
  <c r="H46" i="53"/>
  <c r="K46" i="53" s="1"/>
  <c r="AB10" i="44"/>
  <c r="F11" i="24"/>
  <c r="I47" i="53" l="1"/>
  <c r="L47" i="53" s="1"/>
  <c r="I45" i="53"/>
  <c r="L45" i="53" s="1"/>
  <c r="I46" i="53"/>
  <c r="L46" i="53" s="1"/>
  <c r="I44" i="53"/>
  <c r="K44" i="53"/>
  <c r="K48" i="53" s="1"/>
  <c r="C14" i="53" s="1"/>
  <c r="H48" i="53"/>
  <c r="D14" i="53" l="1"/>
  <c r="L44" i="53"/>
  <c r="L48" i="53" s="1"/>
  <c r="E14" i="53" s="1"/>
  <c r="I48" i="53"/>
  <c r="E9" i="24"/>
  <c r="E10" i="24"/>
  <c r="F10" i="24"/>
  <c r="E12" i="24"/>
  <c r="F12" i="24"/>
  <c r="E19" i="53" l="1"/>
  <c r="F19" i="53" s="1"/>
  <c r="F14" i="53"/>
  <c r="F9" i="24"/>
  <c r="F7" i="24" l="1"/>
  <c r="E7" i="24"/>
  <c r="F22" i="24" l="1"/>
  <c r="K92" i="53"/>
  <c r="K94" i="53" s="1"/>
  <c r="C16" i="53" s="1"/>
  <c r="D16" i="53" l="1"/>
  <c r="E11" i="24"/>
  <c r="E22" i="24" s="1"/>
  <c r="C19" i="53"/>
  <c r="D19" i="53" s="1"/>
</calcChain>
</file>

<file path=xl/sharedStrings.xml><?xml version="1.0" encoding="utf-8"?>
<sst xmlns="http://schemas.openxmlformats.org/spreadsheetml/2006/main" count="1194" uniqueCount="504">
  <si>
    <t>New Position Cost Projections - Template</t>
  </si>
  <si>
    <t>Purpose</t>
  </si>
  <si>
    <t>This optional template is designed to simplify developing standard costs to support new position requests and are based upon actual year expenditures and approved rates.</t>
  </si>
  <si>
    <t>It can be modified to fit agency specific needs.</t>
  </si>
  <si>
    <t>Step</t>
  </si>
  <si>
    <t xml:space="preserve"> NEBS Actuals Download Tab</t>
  </si>
  <si>
    <t>Go into the NEBS Line Items tab of the applicable budget account, Base decision unit filtered</t>
  </si>
  <si>
    <t>Filter for the Base (B000) decision unit</t>
  </si>
  <si>
    <t>Click on the Excel Icon to export, Open</t>
  </si>
  <si>
    <t>Select the data only, do not include the headers, right click and select Copy.</t>
  </si>
  <si>
    <r>
      <t xml:space="preserve">Go to the NEBS Actuals Template Tab and select cell </t>
    </r>
    <r>
      <rPr>
        <b/>
        <sz val="12"/>
        <rFont val="Arial"/>
        <family val="2"/>
      </rPr>
      <t>A11</t>
    </r>
    <r>
      <rPr>
        <sz val="12"/>
        <rFont val="Arial"/>
        <family val="2"/>
      </rPr>
      <t>, paste values. This is necessary to maintain the Excel table (tblActual).</t>
    </r>
  </si>
  <si>
    <t xml:space="preserve">Save File </t>
  </si>
  <si>
    <t>NEBS 130 Download Tab</t>
  </si>
  <si>
    <t>Go to the NEBS Reports tab</t>
  </si>
  <si>
    <t>Select NEBS 130 Payroll/Position Detail Report Under Payroll Reports</t>
  </si>
  <si>
    <t>Select Budget Period, Budget Account, Version, and Decision Unit(s) Containing New Positions</t>
  </si>
  <si>
    <t>Show Position Cost - Use Summary (default)</t>
  </si>
  <si>
    <t>Select Download Data (XLS), Open Document</t>
  </si>
  <si>
    <t>Copy columns A to V, right click and select copy.</t>
  </si>
  <si>
    <t>Go to the Positions Tab and select cell A1, right click and select Paste.</t>
  </si>
  <si>
    <t>Update Columns W-Z as needed</t>
  </si>
  <si>
    <t>Copy the formulas in Columns AA-AB down to each position</t>
  </si>
  <si>
    <t>Summary Template Tab</t>
  </si>
  <si>
    <t>Enter Department Name, Division Name, Budget Account Number and Budget Account Name</t>
  </si>
  <si>
    <t>Enter the number of FTE in Base and the number of those FTE who travel (Cells B8-9) to determine the average travel cost per staff</t>
  </si>
  <si>
    <t>Input Tab</t>
  </si>
  <si>
    <t>Update the rates in the tab as necessary</t>
  </si>
  <si>
    <t>Add rates that might not be included on this sheet to match the agency request</t>
  </si>
  <si>
    <t>Decision Unit Template(s)</t>
  </si>
  <si>
    <t xml:space="preserve">Most of the Heading should already be populated from the Summary Tab.  Enter the Enhancement Decision Unit number(s) in the heading (Cell B5).  Use a separate tab for each Enhancement Decision Unit.  </t>
  </si>
  <si>
    <t>Rename each Decision Unit Template Tab to the Enhancement Decision Unit number by selecting Right Click, Rename, type in the new name, click back on the spreadsheet.</t>
  </si>
  <si>
    <t>For Fiscal Use Only</t>
  </si>
  <si>
    <t>Dates</t>
  </si>
  <si>
    <t>First day of 1st SFY of the biennium:</t>
  </si>
  <si>
    <t>Last day of 1st SFY of the biennium:</t>
  </si>
  <si>
    <t>First day of 2nd SFY of the biennium:</t>
  </si>
  <si>
    <t>Last day of 2nd SFY of the biennium:</t>
  </si>
  <si>
    <t>First day of next biennium:</t>
  </si>
  <si>
    <t>Current Biennium</t>
  </si>
  <si>
    <t>First year SFY</t>
  </si>
  <si>
    <t>Second year SFY</t>
  </si>
  <si>
    <t>Yr 1 Start date</t>
  </si>
  <si>
    <t>Yr 2 Start date</t>
  </si>
  <si>
    <t>Rates</t>
  </si>
  <si>
    <t>FTE Driven Costs</t>
  </si>
  <si>
    <t>Year 1 Rate Per FTE</t>
  </si>
  <si>
    <t>Year 2 Rate Per FTE</t>
  </si>
  <si>
    <t>Category</t>
  </si>
  <si>
    <t>Object Code</t>
  </si>
  <si>
    <t>Description</t>
  </si>
  <si>
    <t>04</t>
  </si>
  <si>
    <t>Employee Bond</t>
  </si>
  <si>
    <t>AG Tort</t>
  </si>
  <si>
    <t>26</t>
  </si>
  <si>
    <t>EITS Infrastructure Assessment</t>
  </si>
  <si>
    <t>EITS Security Assessment</t>
  </si>
  <si>
    <t>Monthly Service Costs</t>
  </si>
  <si>
    <t>Year 1 Rate Per Month</t>
  </si>
  <si>
    <t>Year 2 Rate Per Month</t>
  </si>
  <si>
    <t>Business Productivity Suite</t>
  </si>
  <si>
    <t>Monthly Rate</t>
  </si>
  <si>
    <t>Phone Line &amp; Voice Mail</t>
  </si>
  <si>
    <t>Annual Rate</t>
  </si>
  <si>
    <t>05</t>
  </si>
  <si>
    <t xml:space="preserve">0016 - Secretarial Office Furniture Entire Unit; 
Cubicle or desk credenza, chair, 4 drwr filing cabinet, wastebasket, bookcase, &amp; workstation  - all but Chiefs/Deputies/Administrators  </t>
  </si>
  <si>
    <t xml:space="preserve">0002 - Executive Office Furniture Entire Unit; 
Cubicle or desk credenza, chair, 4 drwr filing cabinet, wastebasket, bookcase, &amp; workstation  -  Only Chiefs/Deputies/Administrators  </t>
  </si>
  <si>
    <t>Laptop W/Operating System</t>
  </si>
  <si>
    <t>Laptop Docking Station</t>
  </si>
  <si>
    <t>Desktop W/Operating System</t>
  </si>
  <si>
    <t>Surge Protector</t>
  </si>
  <si>
    <t>Medium Duty Printer</t>
  </si>
  <si>
    <t>Ink Jet Light Duty (&gt;First Line Sups)</t>
  </si>
  <si>
    <t>FTE DROP DOWNS</t>
  </si>
  <si>
    <t>Travel/Cell Phone</t>
  </si>
  <si>
    <t>Equipment</t>
  </si>
  <si>
    <t>Location</t>
  </si>
  <si>
    <t>Yes</t>
  </si>
  <si>
    <t>Desktop</t>
  </si>
  <si>
    <t>Carson City</t>
  </si>
  <si>
    <t>No</t>
  </si>
  <si>
    <t>Laptop</t>
  </si>
  <si>
    <t>Las Vegas</t>
  </si>
  <si>
    <t>Reno</t>
  </si>
  <si>
    <t>Elko</t>
  </si>
  <si>
    <t>Rural</t>
  </si>
  <si>
    <t>Clerical Support</t>
  </si>
  <si>
    <t>First Line Supervisors</t>
  </si>
  <si>
    <t>Middle Management</t>
  </si>
  <si>
    <t>Division Head/Deputy/Chief</t>
  </si>
  <si>
    <t>Budget Account Line Items</t>
  </si>
  <si>
    <t xml:space="preserve">
Date: 5/4/22 9:22 AM
</t>
  </si>
  <si>
    <t>Budget Period: 2023-2025 Biennium (FY24-25)</t>
  </si>
  <si>
    <t xml:space="preserve">Budget Account: </t>
  </si>
  <si>
    <t>Version: A00 AGENCY REQUEST AS SUBMITTED</t>
  </si>
  <si>
    <t>Decision Unit: B000 BASE</t>
  </si>
  <si>
    <t>DO NOT OVERWRITE THIS TABLE. Paste the data values beginning in row 11, below the header.</t>
  </si>
  <si>
    <t>DU</t>
  </si>
  <si>
    <t>Catg</t>
  </si>
  <si>
    <t>GL</t>
  </si>
  <si>
    <t>Actual</t>
  </si>
  <si>
    <t>Work Pgm</t>
  </si>
  <si>
    <t>Year 1</t>
  </si>
  <si>
    <t>Year 2</t>
  </si>
  <si>
    <t>Schedule</t>
  </si>
  <si>
    <t>B000</t>
  </si>
  <si>
    <t>00</t>
  </si>
  <si>
    <t>2501</t>
  </si>
  <si>
    <t>APPROPRIATION CONTROL</t>
  </si>
  <si>
    <t>- None -</t>
  </si>
  <si>
    <t>2510</t>
  </si>
  <si>
    <t>REVERSIONS</t>
  </si>
  <si>
    <t>4611</t>
  </si>
  <si>
    <t>TRANSFER IN FED ARPA</t>
  </si>
  <si>
    <t>01</t>
  </si>
  <si>
    <t>5100</t>
  </si>
  <si>
    <t>SALARIES</t>
  </si>
  <si>
    <t>PAYROLL</t>
  </si>
  <si>
    <t>5200</t>
  </si>
  <si>
    <t>WORKERS COMPENSATION</t>
  </si>
  <si>
    <t>5300</t>
  </si>
  <si>
    <t>RETIREMENT</t>
  </si>
  <si>
    <t>5400</t>
  </si>
  <si>
    <t>PERSONNEL ASSESSMENT</t>
  </si>
  <si>
    <t>5420</t>
  </si>
  <si>
    <t>COLLECTIVE BARGAINING ASSESSMENT</t>
  </si>
  <si>
    <t>5430</t>
  </si>
  <si>
    <t>LABOR RELATIONS ASSESSMENT</t>
  </si>
  <si>
    <t>ADMINISTRATION - LABOR RELATIONS ALLOCATION</t>
  </si>
  <si>
    <t>5500</t>
  </si>
  <si>
    <t>GROUP INSURANCE</t>
  </si>
  <si>
    <t>5700</t>
  </si>
  <si>
    <t>PAYROLL ASSESSMENT</t>
  </si>
  <si>
    <t>5750</t>
  </si>
  <si>
    <t>RETIRED EMPLOYEES GROUP INSURANCE</t>
  </si>
  <si>
    <t>5800</t>
  </si>
  <si>
    <t>UNEMPLOYMENT COMPENSATION</t>
  </si>
  <si>
    <t>5810</t>
  </si>
  <si>
    <t>OVERTIME PAY</t>
  </si>
  <si>
    <t>5840</t>
  </si>
  <si>
    <t>MEDICARE</t>
  </si>
  <si>
    <t>5860</t>
  </si>
  <si>
    <t>BOARD AND COMMISSION PAY</t>
  </si>
  <si>
    <t>5960</t>
  </si>
  <si>
    <t>TERMINAL SICK LEAVE PAY</t>
  </si>
  <si>
    <t>5970</t>
  </si>
  <si>
    <t>TERMINAL ANNUAL LEAVE PAY</t>
  </si>
  <si>
    <t>02</t>
  </si>
  <si>
    <t>6100</t>
  </si>
  <si>
    <t>PER DIEM OUT-OF-STATE</t>
  </si>
  <si>
    <t>6130</t>
  </si>
  <si>
    <t>PUBLIC TRANS OUT-OF-STATE</t>
  </si>
  <si>
    <t>6140</t>
  </si>
  <si>
    <t>PERSONAL VEHICLE OUT-OF-STATE</t>
  </si>
  <si>
    <t>6150</t>
  </si>
  <si>
    <t>COMM AIR TRANS OUT-OF-STATE</t>
  </si>
  <si>
    <t>03</t>
  </si>
  <si>
    <t>6200</t>
  </si>
  <si>
    <t>PER DIEM IN-STATE</t>
  </si>
  <si>
    <t>6210</t>
  </si>
  <si>
    <t>FS DAILY RENTAL IN-STATE</t>
  </si>
  <si>
    <t>6215</t>
  </si>
  <si>
    <t>NON-FS VEHICLE RENTAL IN-STATE</t>
  </si>
  <si>
    <t>6220</t>
  </si>
  <si>
    <t>AUTO MISC - IN-STATE</t>
  </si>
  <si>
    <t>6230</t>
  </si>
  <si>
    <t>PUBLIC TRANSPORTATION IN-STATE</t>
  </si>
  <si>
    <t>6240</t>
  </si>
  <si>
    <t>PERSONAL VEHICLE IN-STATE</t>
  </si>
  <si>
    <t>6250</t>
  </si>
  <si>
    <t>COMM AIR TRANS IN-STATE</t>
  </si>
  <si>
    <t>7020</t>
  </si>
  <si>
    <t>OPERATING SUPPLIES</t>
  </si>
  <si>
    <t>7044</t>
  </si>
  <si>
    <t>PRINTING AND COPYING - C</t>
  </si>
  <si>
    <t>7045</t>
  </si>
  <si>
    <t>STATE PRINTING CHARGES</t>
  </si>
  <si>
    <t>7050</t>
  </si>
  <si>
    <t>EMPLOYEE BOND INSURANCE</t>
  </si>
  <si>
    <t>7051</t>
  </si>
  <si>
    <t>AGENCY OWNED - PROP. &amp; CONT. INSURANCE</t>
  </si>
  <si>
    <t>AGENCY-OWNED PROPERTY AND CONTENTS</t>
  </si>
  <si>
    <t>7054</t>
  </si>
  <si>
    <t>AG TORT CLAIM ASSESSMENT</t>
  </si>
  <si>
    <t>705A</t>
  </si>
  <si>
    <t>7060</t>
  </si>
  <si>
    <t>CONTRACTS</t>
  </si>
  <si>
    <t>VENDOR SERVICES</t>
  </si>
  <si>
    <t>7065</t>
  </si>
  <si>
    <t>CONTRACTS - E</t>
  </si>
  <si>
    <t>7230</t>
  </si>
  <si>
    <t>MINOR IMPRV-BLGS/FIXTRS</t>
  </si>
  <si>
    <t>7250</t>
  </si>
  <si>
    <t>B &amp; G EXTRA SERVICES</t>
  </si>
  <si>
    <t>7285</t>
  </si>
  <si>
    <t>POSTAGE - STATE MAILROOM</t>
  </si>
  <si>
    <t>7286</t>
  </si>
  <si>
    <t>MAIL STOP-STATE MAILROM</t>
  </si>
  <si>
    <t>MAIL STOP - MAIL SERVICES</t>
  </si>
  <si>
    <t>7289</t>
  </si>
  <si>
    <t>EITS PHONE LINE AND VOICEMAIL</t>
  </si>
  <si>
    <t>EITS</t>
  </si>
  <si>
    <t>7291</t>
  </si>
  <si>
    <t>CELL PHONE/PAGER CHARGES</t>
  </si>
  <si>
    <t>7296</t>
  </si>
  <si>
    <t>EITS LONG DISTANCE CHARGES</t>
  </si>
  <si>
    <t>7299</t>
  </si>
  <si>
    <t>TELEPHONE &amp; DATA WIRING</t>
  </si>
  <si>
    <t>7301</t>
  </si>
  <si>
    <t>MEMBERSHIP DUES</t>
  </si>
  <si>
    <t>7302</t>
  </si>
  <si>
    <t>REGISTRATION FEES</t>
  </si>
  <si>
    <t>7460</t>
  </si>
  <si>
    <t>EQUIPMENT PURCHASES &lt; $1,000</t>
  </si>
  <si>
    <t>EQUIPMENT</t>
  </si>
  <si>
    <t>7980</t>
  </si>
  <si>
    <t>OPERATING LEASE PAYMENTS</t>
  </si>
  <si>
    <t>10</t>
  </si>
  <si>
    <t>7000</t>
  </si>
  <si>
    <t>OPERATING</t>
  </si>
  <si>
    <t>7073</t>
  </si>
  <si>
    <t>SOFTWARE LICENSE/MNT CONTRACTS</t>
  </si>
  <si>
    <t>7532</t>
  </si>
  <si>
    <t>EITS SHARED WEB SERVER HOSTING</t>
  </si>
  <si>
    <t>7542</t>
  </si>
  <si>
    <t>EITS SILVERNET ACCESS</t>
  </si>
  <si>
    <t>7547</t>
  </si>
  <si>
    <t>EITS BUSINESS PRODUCTIVITY SUITE</t>
  </si>
  <si>
    <t>7554</t>
  </si>
  <si>
    <t>EITS INFRASTRUCTURE ASSESSMENT</t>
  </si>
  <si>
    <t>7556</t>
  </si>
  <si>
    <t>EITS SECURITY ASSESSMENT</t>
  </si>
  <si>
    <t>7771</t>
  </si>
  <si>
    <t>COMPUTER SOFTWARE &lt;$5,000 - A</t>
  </si>
  <si>
    <t>8371</t>
  </si>
  <si>
    <t>COMPUTER HARDWARE &lt;$5,000 - A</t>
  </si>
  <si>
    <t>30</t>
  </si>
  <si>
    <t>87</t>
  </si>
  <si>
    <t>7393</t>
  </si>
  <si>
    <t>PURCHASING ASSESSMENT</t>
  </si>
  <si>
    <t>93</t>
  </si>
  <si>
    <t>9169</t>
  </si>
  <si>
    <t>TRANSFER OF GENERAL FD APPROPS</t>
  </si>
  <si>
    <t>State of Nevada - Budget Division</t>
  </si>
  <si>
    <t>Payroll/Position Detail</t>
  </si>
  <si>
    <t>Mode: summary</t>
  </si>
  <si>
    <t>Section A: Position Detail</t>
  </si>
  <si>
    <t>Update columns W-Z; copy the formulas in AA-AB down for all positions</t>
  </si>
  <si>
    <t>formula</t>
  </si>
  <si>
    <t>BA #</t>
  </si>
  <si>
    <t>Dec Unit</t>
  </si>
  <si>
    <t>Pos Group</t>
  </si>
  <si>
    <t>Pos Type</t>
  </si>
  <si>
    <t>Pos Desc</t>
  </si>
  <si>
    <t>PCN#</t>
  </si>
  <si>
    <t>Class Code</t>
  </si>
  <si>
    <t>Gd-Step</t>
  </si>
  <si>
    <t>Gd-Add</t>
  </si>
  <si>
    <t>Anv Mo</t>
  </si>
  <si>
    <t>St Date</t>
  </si>
  <si>
    <t>End Date</t>
  </si>
  <si>
    <t>Ret Cd</t>
  </si>
  <si>
    <t>FTE Actual</t>
  </si>
  <si>
    <t>FTE WP</t>
  </si>
  <si>
    <t>FTE YR1</t>
  </si>
  <si>
    <t>FTE YR2</t>
  </si>
  <si>
    <t>Merit Inc</t>
  </si>
  <si>
    <t>Salary YR1</t>
  </si>
  <si>
    <t>Benefits YR1</t>
  </si>
  <si>
    <t>Salary YR2</t>
  </si>
  <si>
    <t>Benefits YR2</t>
  </si>
  <si>
    <t>Position type</t>
  </si>
  <si>
    <t>Equipment Type</t>
  </si>
  <si>
    <t>Travel (y/n)</t>
  </si>
  <si>
    <t>Additional Rent (y/n)</t>
  </si>
  <si>
    <t>Y1 FTE Months Requested</t>
  </si>
  <si>
    <t>Y2 FTE Months Requested</t>
  </si>
  <si>
    <t>New</t>
  </si>
  <si>
    <t>0</t>
  </si>
  <si>
    <t>1</t>
  </si>
  <si>
    <t>Y</t>
  </si>
  <si>
    <t>Use this sheet to add agency specific software and licenses that will be needed for new staff.</t>
  </si>
  <si>
    <t>NEBS Vendor Schedule (GL 7073 Licenses)</t>
  </si>
  <si>
    <t>Y1</t>
  </si>
  <si>
    <t>Y2</t>
  </si>
  <si>
    <t>Notes</t>
  </si>
  <si>
    <t>NEBS Equipment Schedule (GL 7771 Software)</t>
  </si>
  <si>
    <t>Total Agency Specific Software</t>
  </si>
  <si>
    <t>DEPARTMENT:</t>
  </si>
  <si>
    <t>Staff Needs to update</t>
  </si>
  <si>
    <t>DIVISION:</t>
  </si>
  <si>
    <t>For Fiscal use only</t>
  </si>
  <si>
    <t>BUDGET ACCOUNT NUMBER:</t>
  </si>
  <si>
    <t>Calculated Fields</t>
  </si>
  <si>
    <t>BUDGET ACCOUNT NAME:</t>
  </si>
  <si>
    <t>Total Positions Requested:</t>
  </si>
  <si>
    <t>Summary of Enhancement Decision Unit Costs</t>
  </si>
  <si>
    <t>Base Number of FTE:</t>
  </si>
  <si>
    <t>01 - Personnel Services</t>
  </si>
  <si>
    <t>Base FTE Who Travel:</t>
  </si>
  <si>
    <t>03 - In-State Travel</t>
  </si>
  <si>
    <t>04 - Operating</t>
  </si>
  <si>
    <t xml:space="preserve">05 - Equipment/Furniture </t>
  </si>
  <si>
    <t>Staff required to provide decision unit, written justification and backup quotes for this section.</t>
  </si>
  <si>
    <t>26 - Information Services</t>
  </si>
  <si>
    <t>82/SU - Cost Allocation/Indirect</t>
  </si>
  <si>
    <t>Anticipated Moving Costs</t>
  </si>
  <si>
    <t>Other Costs Not Included</t>
  </si>
  <si>
    <t>Additional Reception Areas</t>
  </si>
  <si>
    <t>New Location - equipment space (50 sf per location)</t>
  </si>
  <si>
    <t>Total Cost of Enhancement Decision Units</t>
  </si>
  <si>
    <t>Do not delete this sheet if using multiple decision units</t>
  </si>
  <si>
    <t>Legend:</t>
  </si>
  <si>
    <t>Calculated Fields - Do Not Change</t>
  </si>
  <si>
    <t>DECISION UNIT:</t>
  </si>
  <si>
    <t>SPECIAL USE CATEGORY:</t>
  </si>
  <si>
    <t>Summary of Costs</t>
  </si>
  <si>
    <t>Y1 Cost/FTE</t>
  </si>
  <si>
    <t>Y2 Cost/FTE</t>
  </si>
  <si>
    <t>82/SU - Indirect Costs</t>
  </si>
  <si>
    <t xml:space="preserve">Total Estimated Cost </t>
  </si>
  <si>
    <t>POSITIONS NEEDED</t>
  </si>
  <si>
    <t>Refresh the pivot table, verify the data source</t>
  </si>
  <si>
    <t>Sum of FTE YR1</t>
  </si>
  <si>
    <t>Sum of FTE YR2</t>
  </si>
  <si>
    <t>Sum of Y1 FTE Months Requested</t>
  </si>
  <si>
    <t>Sum of Y2 FTE Months Requested</t>
  </si>
  <si>
    <t>Grand Total</t>
  </si>
  <si>
    <t>The operating expenses below are based on the Position pivot table above</t>
  </si>
  <si>
    <t>CATEGORY 03 IN-STATE TRAVEL</t>
  </si>
  <si>
    <t xml:space="preserve">Total Base Costs 
</t>
  </si>
  <si>
    <t>Avg Monthly Base Cost</t>
  </si>
  <si>
    <t>Total # of Filled FTE who traveled in Base Year</t>
  </si>
  <si>
    <t xml:space="preserve">Average Monthly Cost Per Filled FTE </t>
  </si>
  <si>
    <t># of Months for FTE who travel</t>
  </si>
  <si>
    <t>Total Estimated Cost</t>
  </si>
  <si>
    <t>Per-Diem In-State</t>
  </si>
  <si>
    <t>State Motor Pool - Daily Rental</t>
  </si>
  <si>
    <t>Personal Vehicle</t>
  </si>
  <si>
    <t>In State Air Fare</t>
  </si>
  <si>
    <t>TOTAL CATEGORY 03 IN-STATE TRAVEL</t>
  </si>
  <si>
    <t xml:space="preserve">CATEGORY 04 OPERATING
</t>
  </si>
  <si>
    <t>FTE in Year 1</t>
  </si>
  <si>
    <t>FTE in Year 2</t>
  </si>
  <si>
    <t>auto</t>
  </si>
  <si>
    <t>Data drops</t>
  </si>
  <si>
    <t>Average of Base Year Costs</t>
  </si>
  <si>
    <t>Total Base Costs</t>
  </si>
  <si>
    <t>Operating Supplies</t>
  </si>
  <si>
    <t>Non-State Printing Services</t>
  </si>
  <si>
    <t>Postage - State Mailroom</t>
  </si>
  <si>
    <t>Phone, Fax, Communication Line</t>
  </si>
  <si>
    <t>Cellular Phone</t>
  </si>
  <si>
    <t>Rate</t>
  </si>
  <si>
    <t>FTE Months in Year 1</t>
  </si>
  <si>
    <t>FTE Months in Year 2</t>
  </si>
  <si>
    <t>EITS Phone Line &amp; Voice Mail</t>
  </si>
  <si>
    <t>OCIO</t>
  </si>
  <si>
    <t>CATEGORY 04 BUILDING LEASE</t>
  </si>
  <si>
    <t>Allowable Sq Ft Per FTE</t>
  </si>
  <si>
    <t>Total Allowable
Sq Ft</t>
  </si>
  <si>
    <t>Cost Per Sq Ft based on Current Lease</t>
  </si>
  <si>
    <r>
      <t xml:space="preserve">Total Estimated Cost
</t>
    </r>
    <r>
      <rPr>
        <i/>
        <sz val="8"/>
        <color indexed="8"/>
        <rFont val="Arial"/>
        <family val="2"/>
      </rPr>
      <t>(Based on FTE months filled)</t>
    </r>
  </si>
  <si>
    <t>Rent</t>
  </si>
  <si>
    <t>Conference/Common (20% of space)</t>
  </si>
  <si>
    <t>TOTAL CATEGORY 04 BUILDING LEASE</t>
  </si>
  <si>
    <t>from NEBS</t>
  </si>
  <si>
    <t>GRAND TOTAL CAT 04</t>
  </si>
  <si>
    <t>CATEGORY 05 EQUIPMENT/FURNITURE</t>
  </si>
  <si>
    <t>Equipment Schedule Cost</t>
  </si>
  <si>
    <r>
      <rPr>
        <b/>
        <i/>
        <sz val="10"/>
        <rFont val="Arial"/>
        <family val="2"/>
      </rPr>
      <t>Secretarial Office Furniture 'Entire Unit</t>
    </r>
    <r>
      <rPr>
        <i/>
        <sz val="10"/>
        <rFont val="Arial"/>
        <family val="2"/>
      </rPr>
      <t xml:space="preserve">'; 
Cubicle or desk credenza, chair, 4 drwr filing cabinet, wastebasket, bookcase, &amp; workstation  - </t>
    </r>
    <r>
      <rPr>
        <b/>
        <i/>
        <sz val="10"/>
        <rFont val="Arial"/>
        <family val="2"/>
      </rPr>
      <t>all but</t>
    </r>
    <r>
      <rPr>
        <i/>
        <sz val="10"/>
        <rFont val="Arial"/>
        <family val="2"/>
      </rPr>
      <t xml:space="preserve"> Chiefs/Deputies/Administrators  </t>
    </r>
  </si>
  <si>
    <r>
      <rPr>
        <b/>
        <i/>
        <sz val="10"/>
        <rFont val="Arial"/>
        <family val="2"/>
      </rPr>
      <t>Executive Office Furniture 'Entire Unit</t>
    </r>
    <r>
      <rPr>
        <i/>
        <sz val="10"/>
        <rFont val="Arial"/>
        <family val="2"/>
      </rPr>
      <t xml:space="preserve">'; 
Cubicle or desk credenza, chair, 4 drwr filing cabinet, wastebasket, bookcase, &amp; workstation  -  </t>
    </r>
    <r>
      <rPr>
        <b/>
        <i/>
        <sz val="10"/>
        <rFont val="Arial"/>
        <family val="2"/>
      </rPr>
      <t>Only</t>
    </r>
    <r>
      <rPr>
        <i/>
        <sz val="10"/>
        <rFont val="Arial"/>
        <family val="2"/>
      </rPr>
      <t xml:space="preserve"> Chiefs/Deputies/Administrators  </t>
    </r>
  </si>
  <si>
    <t>TOTAL CATEGORY 05 EQUIPMENT/FURNITURE</t>
  </si>
  <si>
    <t>CATEGORY 26 INFORMATION SERVICES - OPERATING</t>
  </si>
  <si>
    <t>Agency Specific Licenses</t>
  </si>
  <si>
    <t>Vendor</t>
  </si>
  <si>
    <t>FTE Months Requested</t>
  </si>
  <si>
    <t>TOTAL CATEGORY 26 INFORMATION SERVICES - OPERATING</t>
  </si>
  <si>
    <t xml:space="preserve">CATEGORY 26 INFORMATION SERVICES - COMPUTER HARDWARE/SOFTWARE
</t>
  </si>
  <si>
    <t>Computer Hardware and Software</t>
  </si>
  <si>
    <t>Cost per FTE (NEBS)</t>
  </si>
  <si>
    <t>Agency Specific Software</t>
  </si>
  <si>
    <t>TOTAL CATEGORY 26 INFORMATION SERVICES - COMPUTER HARDWARE/SOFTWARE</t>
  </si>
  <si>
    <t>2511</t>
  </si>
  <si>
    <t>BALANCE FORWARD FROM PREVIOUS YEAR</t>
  </si>
  <si>
    <t>2512</t>
  </si>
  <si>
    <t>BALANCE FORWARD TO NEW YEAR</t>
  </si>
  <si>
    <t>4669</t>
  </si>
  <si>
    <t>TRANS FROM OTHER B/A SAME FUND</t>
  </si>
  <si>
    <t>B&amp;I EMPLOYEE MANAGMENT RELATIONS BOARD ASSESSMENT</t>
  </si>
  <si>
    <t>5830</t>
  </si>
  <si>
    <t>COMP TIME PAYOFF</t>
  </si>
  <si>
    <t>5975</t>
  </si>
  <si>
    <t>FORFEITED ANNUAL LEAVE PAYOFF</t>
  </si>
  <si>
    <t>7026</t>
  </si>
  <si>
    <t>OPERATING SUPPLIES-F</t>
  </si>
  <si>
    <t>7049</t>
  </si>
  <si>
    <t>AGENCY PUBLICATION PRINT CHARGES</t>
  </si>
  <si>
    <t>705B</t>
  </si>
  <si>
    <t>B&amp;G - PROP. &amp; CONT. INSURANCE</t>
  </si>
  <si>
    <t>B&amp;G-OWNED BUILDING RENT</t>
  </si>
  <si>
    <t>7090</t>
  </si>
  <si>
    <t>EQUIPMENT REPAIR</t>
  </si>
  <si>
    <t>7100</t>
  </si>
  <si>
    <t>STATE OWNED BLDG RENT-B&amp;G</t>
  </si>
  <si>
    <t>7330</t>
  </si>
  <si>
    <t>SPECIAL REPORT SERVICES &amp; FEES</t>
  </si>
  <si>
    <t>7370</t>
  </si>
  <si>
    <t>PUBLICATIONS AND PERIODICALS</t>
  </si>
  <si>
    <t>08</t>
  </si>
  <si>
    <t>8240</t>
  </si>
  <si>
    <t>NEW FURNISHINGS &gt;$5,000</t>
  </si>
  <si>
    <t>09</t>
  </si>
  <si>
    <t>7062</t>
  </si>
  <si>
    <t>CONTRACTS - B</t>
  </si>
  <si>
    <t>7064</t>
  </si>
  <si>
    <t>CONTRACTS - D</t>
  </si>
  <si>
    <t>7066</t>
  </si>
  <si>
    <t>CONTRACTS - F</t>
  </si>
  <si>
    <t>7430</t>
  </si>
  <si>
    <t>PROFESSIONAL SERVICES</t>
  </si>
  <si>
    <t>9022</t>
  </si>
  <si>
    <t>TRANS TO LEGISLATIVE COUNSEL BUR</t>
  </si>
  <si>
    <t>9158</t>
  </si>
  <si>
    <t>TRANSFERS-INTRAFUND</t>
  </si>
  <si>
    <t>14</t>
  </si>
  <si>
    <t>15</t>
  </si>
  <si>
    <t>8151</t>
  </si>
  <si>
    <t>BUILDINGS AND IMPROVEMENTS-A</t>
  </si>
  <si>
    <t>8241</t>
  </si>
  <si>
    <t>NEW FURNISHINGS &lt;$5,000 - A</t>
  </si>
  <si>
    <t>20</t>
  </si>
  <si>
    <t>6000</t>
  </si>
  <si>
    <t>TRAVEL</t>
  </si>
  <si>
    <t>7510</t>
  </si>
  <si>
    <t>EITS PROGRAMMER/DEVELOPER</t>
  </si>
  <si>
    <t>7511</t>
  </si>
  <si>
    <t>EITS DATABASE ADMINISTRATOR</t>
  </si>
  <si>
    <t>7531</t>
  </si>
  <si>
    <t>EITS DISK STORAGE</t>
  </si>
  <si>
    <t>OCIO WEB SERVICES</t>
  </si>
  <si>
    <t>7540</t>
  </si>
  <si>
    <t>EITS UNIX SUPPORT</t>
  </si>
  <si>
    <t>OCIO SILVERNET</t>
  </si>
  <si>
    <t>7548</t>
  </si>
  <si>
    <t>EITS SERVER HOSTING - VIRTUAL</t>
  </si>
  <si>
    <t>7306</t>
  </si>
  <si>
    <t>DUES &amp; REG - EMPLOYEE REIMBURSEMENT</t>
  </si>
  <si>
    <t>82</t>
  </si>
  <si>
    <t>7389</t>
  </si>
  <si>
    <t>CENTRALIZED PERSONNEL SERVICES COST ALLOC</t>
  </si>
  <si>
    <t>ADMINISTRATION - AGENCY HR SERVICES COST ALLOCATION</t>
  </si>
  <si>
    <t>7439</t>
  </si>
  <si>
    <t>DEPT OF ADMIN - ADMIN SER DIV</t>
  </si>
  <si>
    <t>ADMINISTRATION - ADMINISTRATIVE SERVICES</t>
  </si>
  <si>
    <t>7506</t>
  </si>
  <si>
    <t>EITS PC/LAN SUPPORT</t>
  </si>
  <si>
    <t>ADMINISTRATION - EITS - IT SUPPORT SERVICES COST ALLOCATION</t>
  </si>
  <si>
    <t>7507</t>
  </si>
  <si>
    <t>EITS AGENCY IT SUPPORT</t>
  </si>
  <si>
    <t>2025-2027 Biennium (FY26-27)</t>
  </si>
  <si>
    <t>W02 PPT</t>
  </si>
  <si>
    <t>1340</t>
  </si>
  <si>
    <t>E300 GOVERNMENT SUPPORT SERVICES</t>
  </si>
  <si>
    <t>GSS GOVERNMENT SUPPORT SERVICES</t>
  </si>
  <si>
    <t>GRANTS &amp; PROJECTS ANALYST 3</t>
  </si>
  <si>
    <t>000101</t>
  </si>
  <si>
    <t>07753</t>
  </si>
  <si>
    <t>37-7</t>
  </si>
  <si>
    <t>10-2025</t>
  </si>
  <si>
    <t>6-2027</t>
  </si>
  <si>
    <t>MANAGEMENT ANALYST 1</t>
  </si>
  <si>
    <t>000102</t>
  </si>
  <si>
    <t>07637</t>
  </si>
  <si>
    <t>33-7</t>
  </si>
  <si>
    <t>GFO</t>
  </si>
  <si>
    <t>Budget Division</t>
  </si>
  <si>
    <t>New staff software  tab</t>
  </si>
  <si>
    <t>Government Support Services</t>
  </si>
  <si>
    <t>Sum of Salary YR1</t>
  </si>
  <si>
    <t>Sum of Benefits YR1</t>
  </si>
  <si>
    <t>Sum of Salary YR2</t>
  </si>
  <si>
    <t>Sum of Benefits YR2</t>
  </si>
  <si>
    <t>Add the per person cost</t>
  </si>
  <si>
    <t>Use this sheet if your agency has specific software licenses or other software needs that are not available on the OCIO schedule dropdown</t>
  </si>
  <si>
    <t>Enter the per/fte cost, the sheet will calculate the total cost based on the FTE's in the NEBS130 download</t>
  </si>
  <si>
    <t>The Summary Template Tab should balance with the NEBS 210 Report for each of the enhancement decision units included in this workbook.</t>
  </si>
  <si>
    <t>Include any items not budgeted on the enhancement decision unit tabs.  Items such as anticipated moving costs, contract costs that are requested in the decision unit but not calculated per person, etc. If including multiple decision units, be sure to identify the item and the decision unit with which it is associated.</t>
  </si>
  <si>
    <t>Add extra rows as needed.</t>
  </si>
  <si>
    <t>Forcepoint</t>
  </si>
  <si>
    <t>Total Licenses</t>
  </si>
  <si>
    <t>Quickbooks</t>
  </si>
  <si>
    <t>Update the rate fields in purple if necessary.  Rates such as rent are agency specific.</t>
  </si>
  <si>
    <t>Select the Pivot Table (cell A23 should work, but any cell in the pivot is ifne). Refresh the pivot table.</t>
  </si>
  <si>
    <t>0104 Laptop W/Operating System</t>
  </si>
  <si>
    <t>0106 Laptop Docking Station</t>
  </si>
  <si>
    <t>0103 Flat Panel Monitor</t>
  </si>
  <si>
    <t>Small Equipment</t>
  </si>
  <si>
    <t>x</t>
  </si>
  <si>
    <t>Fleet Service (GL6211)</t>
  </si>
  <si>
    <t>This workbook works best with one decision unit. Even if the NEBS130 includes multiple decision units, the filter on the decision unit tab will be for one a single decision unit. Copy the workbook and change the filter to a different decision unit for each decision unit once the initial template is setup for your agency.</t>
  </si>
  <si>
    <t>This spreadsheet is formatted for agencies that use standard use categories.  Indicate if expenses should be included in a special use category instead by entering the special use category number (Cell B6). This is an indicator only to note that the operating expenses will not be established in the standard operating categories.</t>
  </si>
  <si>
    <t>The enhancement decision unit worksheet may not balance to NEBS. Other items that are not FTE driven such as a contract, fleet services, etc can be included on the Summary Tab to get the summary to match NEBS.</t>
  </si>
  <si>
    <t>Indicator only, the costs below are calculated in standard categories.</t>
  </si>
  <si>
    <t>Excess Copier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</si>
</sst>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quot;$&quot;#,##0\)"/>
    <numFmt numFmtId="167" formatCode="###,###,###,##0.00"/>
    <numFmt numFmtId="168" formatCode="###,###,###,##0"/>
    <numFmt numFmtId="169" formatCode="0_);\(0\)"/>
    <numFmt numFmtId="170" formatCode="mm/dd/yy;@"/>
  </numFmts>
  <fonts count="52" x14ac:knownFonts="1">
    <font>
      <sz val="11"/>
      <color theme="1"/>
      <name val="Calibri"/>
      <family val="2"/>
      <scheme val="minor"/>
    </font>
    <font>
      <b/>
      <sz val="10"/>
      <name val="Arial"/>
      <family val="2"/>
    </font>
    <font>
      <i/>
      <sz val="10"/>
      <name val="Arial"/>
      <family val="2"/>
    </font>
    <font>
      <b/>
      <i/>
      <sz val="10"/>
      <name val="Arial"/>
      <family val="2"/>
    </font>
    <font>
      <b/>
      <i/>
      <sz val="9.5"/>
      <name val="Arial"/>
      <family val="2"/>
    </font>
    <font>
      <i/>
      <sz val="9.5"/>
      <name val="Arial"/>
      <family val="2"/>
    </font>
    <font>
      <sz val="10"/>
      <name val="Arial"/>
      <family val="2"/>
    </font>
    <font>
      <sz val="10"/>
      <name val="Helv"/>
    </font>
    <font>
      <sz val="12"/>
      <name val="Times New Roman"/>
      <family val="1"/>
    </font>
    <font>
      <i/>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theme="1"/>
      <name val="Arial"/>
      <family val="2"/>
    </font>
    <font>
      <i/>
      <sz val="9.25"/>
      <color theme="1"/>
      <name val="Arial"/>
      <family val="2"/>
    </font>
    <font>
      <i/>
      <sz val="8.5"/>
      <color theme="1"/>
      <name val="Arial"/>
      <family val="2"/>
    </font>
    <font>
      <b/>
      <i/>
      <sz val="10"/>
      <color rgb="FFFF0000"/>
      <name val="Arial"/>
      <family val="2"/>
    </font>
    <font>
      <i/>
      <sz val="10"/>
      <color theme="1"/>
      <name val="Arial"/>
      <family val="2"/>
    </font>
    <font>
      <b/>
      <i/>
      <sz val="8"/>
      <color theme="1"/>
      <name val="Arial"/>
      <family val="2"/>
    </font>
    <font>
      <b/>
      <i/>
      <sz val="8"/>
      <color rgb="FFFF0000"/>
      <name val="Arial"/>
      <family val="2"/>
    </font>
    <font>
      <sz val="10"/>
      <name val="Times New Roman"/>
      <family val="1"/>
    </font>
    <font>
      <b/>
      <i/>
      <sz val="11"/>
      <color theme="1"/>
      <name val="Calibri"/>
      <family val="2"/>
      <scheme val="minor"/>
    </font>
    <font>
      <sz val="10"/>
      <name val="Arial"/>
      <family val="2"/>
    </font>
    <font>
      <sz val="12"/>
      <name val="Arial"/>
      <family val="2"/>
    </font>
    <font>
      <b/>
      <sz val="12"/>
      <name val="Arial"/>
      <family val="2"/>
    </font>
    <font>
      <b/>
      <sz val="11"/>
      <name val="Arial"/>
      <family val="2"/>
    </font>
    <font>
      <b/>
      <i/>
      <sz val="9"/>
      <color theme="1"/>
      <name val="Arial"/>
      <family val="2"/>
    </font>
    <font>
      <sz val="10"/>
      <color theme="1"/>
      <name val="Arial"/>
      <family val="2"/>
    </font>
    <font>
      <i/>
      <sz val="11"/>
      <color theme="1"/>
      <name val="Calibri"/>
      <family val="2"/>
      <scheme val="minor"/>
    </font>
    <font>
      <i/>
      <sz val="10"/>
      <color theme="1"/>
      <name val="Calibri"/>
      <family val="2"/>
      <scheme val="minor"/>
    </font>
    <font>
      <b/>
      <i/>
      <sz val="11"/>
      <color theme="1"/>
      <name val="Arial"/>
      <family val="2"/>
    </font>
    <font>
      <i/>
      <sz val="11"/>
      <color theme="1"/>
      <name val="Arial"/>
      <family val="2"/>
    </font>
    <font>
      <b/>
      <sz val="11"/>
      <color theme="1"/>
      <name val="Arial"/>
      <family val="2"/>
    </font>
    <font>
      <sz val="11"/>
      <color theme="1"/>
      <name val="Arial"/>
      <family val="2"/>
    </font>
    <font>
      <b/>
      <sz val="11"/>
      <color rgb="FFFF0000"/>
      <name val="Calibri"/>
      <family val="2"/>
      <scheme val="minor"/>
    </font>
    <font>
      <sz val="10"/>
      <name val="Arial"/>
    </font>
    <font>
      <b/>
      <sz val="11"/>
      <color rgb="FF000000"/>
      <name val="Arial"/>
      <family val="2"/>
    </font>
    <font>
      <sz val="11"/>
      <color rgb="FF000000"/>
      <name val="Arial"/>
      <family val="2"/>
    </font>
  </fonts>
  <fills count="4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rgb="FF000000"/>
      </patternFill>
    </fill>
    <fill>
      <patternFill patternType="solid">
        <fgColor rgb="FFBFBFBF"/>
        <bgColor rgb="FF000000"/>
      </patternFill>
    </fill>
    <fill>
      <patternFill patternType="solid">
        <fgColor rgb="FFFFC000"/>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hair">
        <color indexed="64"/>
      </bottom>
      <diagonal/>
    </border>
    <border>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s>
  <cellStyleXfs count="8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33" applyNumberFormat="0" applyAlignment="0" applyProtection="0"/>
    <xf numFmtId="0" fontId="14" fillId="28" borderId="34" applyNumberFormat="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9" fontId="6" fillId="0" borderId="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0" fontId="7" fillId="0" borderId="0"/>
    <xf numFmtId="44" fontId="1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0" fontId="15" fillId="0" borderId="0" applyNumberFormat="0" applyFill="0" applyBorder="0" applyAlignment="0" applyProtection="0"/>
    <xf numFmtId="2" fontId="6" fillId="0" borderId="0" applyFont="0" applyFill="0" applyBorder="0" applyAlignment="0" applyProtection="0"/>
    <xf numFmtId="0" fontId="16" fillId="29" borderId="0" applyNumberFormat="0" applyBorder="0" applyAlignment="0" applyProtection="0"/>
    <xf numFmtId="0" fontId="17" fillId="0" borderId="35" applyNumberFormat="0" applyFill="0" applyAlignment="0" applyProtection="0"/>
    <xf numFmtId="0" fontId="18" fillId="0" borderId="36" applyNumberFormat="0" applyFill="0" applyAlignment="0" applyProtection="0"/>
    <xf numFmtId="0" fontId="19" fillId="0" borderId="37" applyNumberFormat="0" applyFill="0" applyAlignment="0" applyProtection="0"/>
    <xf numFmtId="0" fontId="19" fillId="0" borderId="0" applyNumberFormat="0" applyFill="0" applyBorder="0" applyAlignment="0" applyProtection="0"/>
    <xf numFmtId="0" fontId="20" fillId="30" borderId="33" applyNumberFormat="0" applyAlignment="0" applyProtection="0"/>
    <xf numFmtId="0" fontId="21" fillId="0" borderId="38" applyNumberFormat="0" applyFill="0" applyAlignment="0" applyProtection="0"/>
    <xf numFmtId="0" fontId="22" fillId="31" borderId="0" applyNumberFormat="0" applyBorder="0" applyAlignment="0" applyProtection="0"/>
    <xf numFmtId="49" fontId="1" fillId="0" borderId="1">
      <alignment horizontal="center" vertical="center"/>
    </xf>
    <xf numFmtId="49" fontId="1" fillId="0" borderId="2">
      <alignment horizontal="center" vertical="center"/>
    </xf>
    <xf numFmtId="0" fontId="8" fillId="0" borderId="3" applyNumberFormat="0" applyFont="0" applyFill="0" applyAlignment="0">
      <alignment horizontal="left" vertical="top" wrapText="1"/>
    </xf>
    <xf numFmtId="0" fontId="6" fillId="0" borderId="0"/>
    <xf numFmtId="0" fontId="6" fillId="0" borderId="0"/>
    <xf numFmtId="0" fontId="10" fillId="0" borderId="0"/>
    <xf numFmtId="0" fontId="10" fillId="0" borderId="0"/>
    <xf numFmtId="0" fontId="6" fillId="0" borderId="0"/>
    <xf numFmtId="0" fontId="10" fillId="32" borderId="39" applyNumberFormat="0" applyFont="0" applyAlignment="0" applyProtection="0"/>
    <xf numFmtId="0" fontId="23" fillId="27" borderId="40" applyNumberFormat="0" applyAlignment="0" applyProtection="0"/>
    <xf numFmtId="0" fontId="6" fillId="0" borderId="0" applyNumberFormat="0" applyFont="0" applyFill="0" applyBorder="0" applyAlignment="0" applyProtection="0"/>
    <xf numFmtId="0" fontId="7" fillId="0" borderId="0"/>
    <xf numFmtId="0" fontId="24" fillId="0" borderId="0" applyNumberFormat="0" applyFill="0" applyBorder="0" applyAlignment="0" applyProtection="0"/>
    <xf numFmtId="0" fontId="25" fillId="0" borderId="41" applyNumberFormat="0" applyFill="0" applyAlignment="0" applyProtection="0"/>
    <xf numFmtId="0" fontId="26" fillId="0" borderId="0" applyNumberFormat="0" applyFill="0" applyBorder="0" applyAlignment="0" applyProtection="0"/>
    <xf numFmtId="0" fontId="34" fillId="0" borderId="0"/>
    <xf numFmtId="43" fontId="34"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4" fontId="10" fillId="0" borderId="0" applyFont="0" applyFill="0" applyBorder="0" applyAlignment="0" applyProtection="0"/>
    <xf numFmtId="0" fontId="34" fillId="0" borderId="0"/>
    <xf numFmtId="0" fontId="6" fillId="0" borderId="0"/>
    <xf numFmtId="9" fontId="6" fillId="0" borderId="0" applyFont="0" applyFill="0" applyBorder="0" applyAlignment="0" applyProtection="0"/>
    <xf numFmtId="0" fontId="34" fillId="0" borderId="0"/>
    <xf numFmtId="0" fontId="36" fillId="0" borderId="0"/>
    <xf numFmtId="0" fontId="36" fillId="0" borderId="0"/>
    <xf numFmtId="0" fontId="36" fillId="0" borderId="0"/>
    <xf numFmtId="0" fontId="6" fillId="0" borderId="0"/>
    <xf numFmtId="0" fontId="36" fillId="0" borderId="0"/>
    <xf numFmtId="0" fontId="36" fillId="0" borderId="0"/>
    <xf numFmtId="0" fontId="6" fillId="0" borderId="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cellStyleXfs>
  <cellXfs count="369">
    <xf numFmtId="0" fontId="0" fillId="0" borderId="0" xfId="0"/>
    <xf numFmtId="0" fontId="27" fillId="0" borderId="0" xfId="0" applyFont="1" applyAlignment="1">
      <alignment horizontal="left" wrapText="1"/>
    </xf>
    <xf numFmtId="0" fontId="3" fillId="33" borderId="16" xfId="0" applyFont="1" applyFill="1" applyBorder="1" applyAlignment="1" applyProtection="1">
      <alignment horizontal="left"/>
      <protection locked="0"/>
    </xf>
    <xf numFmtId="0" fontId="0" fillId="0" borderId="0" xfId="0" applyProtection="1">
      <protection locked="0"/>
    </xf>
    <xf numFmtId="0" fontId="27" fillId="0" borderId="0" xfId="0" applyFont="1"/>
    <xf numFmtId="41" fontId="27" fillId="34" borderId="48" xfId="28" applyNumberFormat="1" applyFont="1" applyFill="1" applyBorder="1" applyAlignment="1" applyProtection="1">
      <alignment horizontal="right" wrapText="1"/>
    </xf>
    <xf numFmtId="41" fontId="27" fillId="35" borderId="47" xfId="28" applyNumberFormat="1" applyFont="1" applyFill="1" applyBorder="1" applyAlignment="1" applyProtection="1">
      <alignment horizontal="right" wrapText="1"/>
    </xf>
    <xf numFmtId="41" fontId="27" fillId="34" borderId="4" xfId="28" applyNumberFormat="1" applyFont="1" applyFill="1" applyBorder="1" applyAlignment="1" applyProtection="1">
      <alignment horizontal="right" wrapText="1"/>
    </xf>
    <xf numFmtId="41" fontId="27" fillId="35" borderId="7" xfId="28" applyNumberFormat="1" applyFont="1" applyFill="1" applyBorder="1" applyAlignment="1" applyProtection="1">
      <alignment horizontal="right" wrapText="1"/>
    </xf>
    <xf numFmtId="41" fontId="27" fillId="33" borderId="4" xfId="28" applyNumberFormat="1" applyFont="1" applyFill="1" applyBorder="1" applyAlignment="1" applyProtection="1">
      <alignment horizontal="right" wrapText="1"/>
      <protection locked="0"/>
    </xf>
    <xf numFmtId="41" fontId="27" fillId="33" borderId="7" xfId="28" applyNumberFormat="1" applyFont="1" applyFill="1" applyBorder="1" applyAlignment="1" applyProtection="1">
      <alignment horizontal="right" wrapText="1"/>
      <protection locked="0"/>
    </xf>
    <xf numFmtId="41" fontId="3" fillId="33" borderId="4" xfId="28" applyNumberFormat="1" applyFont="1" applyFill="1" applyBorder="1" applyAlignment="1" applyProtection="1">
      <alignment horizontal="right" wrapText="1"/>
      <protection locked="0"/>
    </xf>
    <xf numFmtId="41" fontId="3" fillId="33" borderId="7" xfId="28" applyNumberFormat="1" applyFont="1" applyFill="1" applyBorder="1" applyAlignment="1" applyProtection="1">
      <alignment horizontal="right" wrapText="1"/>
      <protection locked="0"/>
    </xf>
    <xf numFmtId="0" fontId="3" fillId="36" borderId="0" xfId="0" applyFont="1" applyFill="1" applyAlignment="1">
      <alignment horizontal="left"/>
    </xf>
    <xf numFmtId="41" fontId="27" fillId="36" borderId="4" xfId="28" applyNumberFormat="1" applyFont="1" applyFill="1" applyBorder="1" applyAlignment="1" applyProtection="1">
      <alignment horizontal="right" wrapText="1"/>
    </xf>
    <xf numFmtId="41" fontId="27" fillId="36" borderId="7" xfId="28" applyNumberFormat="1" applyFont="1" applyFill="1" applyBorder="1" applyAlignment="1" applyProtection="1">
      <alignment horizontal="right" wrapText="1"/>
    </xf>
    <xf numFmtId="0" fontId="3" fillId="36" borderId="12" xfId="0" applyFont="1" applyFill="1" applyBorder="1" applyAlignment="1">
      <alignment horizontal="left"/>
    </xf>
    <xf numFmtId="41" fontId="3" fillId="36" borderId="13" xfId="28" applyNumberFormat="1" applyFont="1" applyFill="1" applyBorder="1" applyAlignment="1" applyProtection="1">
      <alignment horizontal="right" wrapText="1"/>
    </xf>
    <xf numFmtId="41" fontId="3" fillId="36" borderId="14" xfId="28" applyNumberFormat="1" applyFont="1" applyFill="1" applyBorder="1" applyAlignment="1" applyProtection="1">
      <alignment horizontal="right" wrapText="1"/>
    </xf>
    <xf numFmtId="0" fontId="27" fillId="0" borderId="0" xfId="0" applyFont="1" applyProtection="1">
      <protection locked="0"/>
    </xf>
    <xf numFmtId="0" fontId="27" fillId="0" borderId="0" xfId="0" applyFont="1" applyAlignment="1" applyProtection="1">
      <alignment horizontal="left" wrapText="1"/>
      <protection locked="0"/>
    </xf>
    <xf numFmtId="0" fontId="30" fillId="0" borderId="0" xfId="0" applyFont="1" applyProtection="1">
      <protection locked="0"/>
    </xf>
    <xf numFmtId="0" fontId="27" fillId="0" borderId="0" xfId="0" applyFont="1" applyAlignment="1" applyProtection="1">
      <alignment horizontal="center" wrapText="1"/>
      <protection locked="0"/>
    </xf>
    <xf numFmtId="0" fontId="31" fillId="0" borderId="0" xfId="0" applyFont="1" applyProtection="1">
      <protection locked="0"/>
    </xf>
    <xf numFmtId="49" fontId="31" fillId="0" borderId="0" xfId="0" applyNumberFormat="1" applyFont="1" applyProtection="1">
      <protection locked="0"/>
    </xf>
    <xf numFmtId="0" fontId="27" fillId="0" borderId="0" xfId="0" applyFont="1" applyAlignment="1" applyProtection="1">
      <alignment horizontal="left"/>
      <protection locked="0"/>
    </xf>
    <xf numFmtId="0" fontId="0" fillId="33" borderId="0" xfId="0" applyFill="1" applyProtection="1">
      <protection locked="0"/>
    </xf>
    <xf numFmtId="0" fontId="3" fillId="33" borderId="0" xfId="0" applyFont="1" applyFill="1" applyAlignment="1" applyProtection="1">
      <alignment horizontal="left"/>
      <protection locked="0"/>
    </xf>
    <xf numFmtId="0" fontId="3" fillId="33" borderId="12" xfId="0" applyFont="1" applyFill="1" applyBorder="1" applyAlignment="1" applyProtection="1">
      <alignment horizontal="left"/>
      <protection locked="0"/>
    </xf>
    <xf numFmtId="41" fontId="3" fillId="33" borderId="13" xfId="28" applyNumberFormat="1" applyFont="1" applyFill="1" applyBorder="1" applyAlignment="1" applyProtection="1">
      <alignment horizontal="right" wrapText="1"/>
      <protection locked="0"/>
    </xf>
    <xf numFmtId="41" fontId="3" fillId="33" borderId="14" xfId="28" applyNumberFormat="1" applyFont="1" applyFill="1" applyBorder="1" applyAlignment="1" applyProtection="1">
      <alignment horizontal="right" wrapText="1"/>
      <protection locked="0"/>
    </xf>
    <xf numFmtId="0" fontId="3" fillId="33" borderId="15" xfId="0" applyFont="1" applyFill="1" applyBorder="1" applyAlignment="1" applyProtection="1">
      <alignment horizontal="left"/>
      <protection locked="0"/>
    </xf>
    <xf numFmtId="0" fontId="3" fillId="0" borderId="0" xfId="0" applyFont="1" applyAlignment="1" applyProtection="1">
      <alignment horizontal="left"/>
      <protection locked="0"/>
    </xf>
    <xf numFmtId="170" fontId="31" fillId="0" borderId="0" xfId="0" applyNumberFormat="1" applyFont="1" applyProtection="1">
      <protection locked="0"/>
    </xf>
    <xf numFmtId="1" fontId="31" fillId="0" borderId="0" xfId="0" applyNumberFormat="1" applyFont="1" applyProtection="1">
      <protection locked="0"/>
    </xf>
    <xf numFmtId="0" fontId="27" fillId="0" borderId="19" xfId="0" applyFont="1" applyBorder="1" applyAlignment="1" applyProtection="1">
      <alignment wrapText="1"/>
      <protection locked="0"/>
    </xf>
    <xf numFmtId="0" fontId="27" fillId="0" borderId="19" xfId="0" applyFont="1" applyBorder="1" applyAlignment="1">
      <alignment wrapText="1"/>
    </xf>
    <xf numFmtId="0" fontId="27" fillId="0" borderId="22" xfId="0" applyFont="1" applyBorder="1" applyAlignment="1">
      <alignment wrapText="1"/>
    </xf>
    <xf numFmtId="0" fontId="25" fillId="0" borderId="0" xfId="0" applyFont="1"/>
    <xf numFmtId="0" fontId="27" fillId="34" borderId="8" xfId="0" applyFont="1" applyFill="1" applyBorder="1" applyAlignment="1">
      <alignment horizontal="center" wrapText="1"/>
    </xf>
    <xf numFmtId="0" fontId="27" fillId="35" borderId="9" xfId="0" applyFont="1" applyFill="1" applyBorder="1" applyAlignment="1">
      <alignment horizontal="center" wrapText="1"/>
    </xf>
    <xf numFmtId="0" fontId="31" fillId="0" borderId="0" xfId="0" applyFont="1"/>
    <xf numFmtId="164" fontId="3" fillId="34" borderId="17" xfId="35" applyNumberFormat="1" applyFont="1" applyFill="1" applyBorder="1" applyAlignment="1" applyProtection="1">
      <alignment horizontal="right" wrapText="1"/>
    </xf>
    <xf numFmtId="164" fontId="3" fillId="35" borderId="18" xfId="35" applyNumberFormat="1" applyFont="1" applyFill="1" applyBorder="1" applyAlignment="1" applyProtection="1">
      <alignment horizontal="right" wrapText="1"/>
    </xf>
    <xf numFmtId="0" fontId="27" fillId="36" borderId="0" xfId="0" applyFont="1" applyFill="1" applyAlignment="1">
      <alignment horizontal="left"/>
    </xf>
    <xf numFmtId="0" fontId="3" fillId="0" borderId="0" xfId="0" applyFont="1" applyAlignment="1" applyProtection="1">
      <alignment horizontal="left" wrapText="1"/>
      <protection locked="0"/>
    </xf>
    <xf numFmtId="0" fontId="28" fillId="0" borderId="0" xfId="0" applyFont="1" applyProtection="1">
      <protection locked="0"/>
    </xf>
    <xf numFmtId="0" fontId="4" fillId="0" borderId="0" xfId="0" applyFont="1" applyAlignment="1" applyProtection="1">
      <alignment horizontal="right" wrapText="1"/>
      <protection locked="0"/>
    </xf>
    <xf numFmtId="0" fontId="5" fillId="0" borderId="0" xfId="0" applyFont="1" applyProtection="1">
      <protection locked="0"/>
    </xf>
    <xf numFmtId="0" fontId="29" fillId="0" borderId="0" xfId="0" applyFont="1" applyProtection="1">
      <protection locked="0"/>
    </xf>
    <xf numFmtId="164" fontId="27" fillId="0" borderId="0" xfId="35" applyNumberFormat="1" applyFont="1" applyBorder="1" applyAlignment="1" applyProtection="1">
      <alignment horizontal="right"/>
      <protection locked="0"/>
    </xf>
    <xf numFmtId="164" fontId="27" fillId="0" borderId="0" xfId="35" applyNumberFormat="1" applyFont="1" applyBorder="1" applyProtection="1">
      <protection locked="0"/>
    </xf>
    <xf numFmtId="0" fontId="27" fillId="36" borderId="1" xfId="0" applyFont="1" applyFill="1" applyBorder="1" applyAlignment="1" applyProtection="1">
      <alignment horizontal="center" wrapText="1"/>
      <protection locked="0"/>
    </xf>
    <xf numFmtId="0" fontId="27" fillId="36" borderId="3" xfId="0" applyFont="1" applyFill="1" applyBorder="1" applyAlignment="1" applyProtection="1">
      <alignment horizontal="center" wrapText="1"/>
      <protection locked="0"/>
    </xf>
    <xf numFmtId="43" fontId="31" fillId="36" borderId="4" xfId="0" applyNumberFormat="1" applyFont="1" applyFill="1" applyBorder="1" applyAlignment="1" applyProtection="1">
      <alignment horizontal="right" wrapText="1"/>
      <protection locked="0"/>
    </xf>
    <xf numFmtId="164" fontId="27" fillId="0" borderId="0" xfId="35" applyNumberFormat="1" applyFont="1" applyFill="1" applyBorder="1" applyProtection="1">
      <protection locked="0"/>
    </xf>
    <xf numFmtId="43" fontId="27" fillId="0" borderId="0" xfId="0" applyNumberFormat="1" applyFont="1" applyProtection="1">
      <protection locked="0"/>
    </xf>
    <xf numFmtId="3" fontId="27" fillId="0" borderId="0" xfId="0" applyNumberFormat="1" applyFont="1" applyProtection="1">
      <protection locked="0"/>
    </xf>
    <xf numFmtId="3" fontId="31" fillId="0" borderId="0" xfId="0" applyNumberFormat="1" applyFont="1" applyAlignment="1" applyProtection="1">
      <alignment horizontal="right" wrapText="1"/>
      <protection locked="0"/>
    </xf>
    <xf numFmtId="39" fontId="31" fillId="36" borderId="4" xfId="28" applyNumberFormat="1" applyFont="1" applyFill="1" applyBorder="1" applyAlignment="1" applyProtection="1">
      <alignment horizontal="right" wrapText="1"/>
      <protection locked="0"/>
    </xf>
    <xf numFmtId="0" fontId="31" fillId="0" borderId="0" xfId="0" applyFont="1" applyAlignment="1">
      <alignment horizontal="right"/>
    </xf>
    <xf numFmtId="0" fontId="27" fillId="33" borderId="0" xfId="0" applyFont="1" applyFill="1" applyAlignment="1">
      <alignment horizontal="left"/>
    </xf>
    <xf numFmtId="0" fontId="3" fillId="38" borderId="0" xfId="0" applyFont="1" applyFill="1" applyAlignment="1">
      <alignment horizontal="left"/>
    </xf>
    <xf numFmtId="0" fontId="27" fillId="34" borderId="0" xfId="0" applyFont="1" applyFill="1"/>
    <xf numFmtId="0" fontId="31" fillId="34" borderId="0" xfId="0" applyFont="1" applyFill="1"/>
    <xf numFmtId="0" fontId="27" fillId="35" borderId="0" xfId="0" applyFont="1" applyFill="1"/>
    <xf numFmtId="0" fontId="3" fillId="35" borderId="0" xfId="0" applyFont="1" applyFill="1" applyAlignment="1">
      <alignment horizontal="left"/>
    </xf>
    <xf numFmtId="0" fontId="27" fillId="35" borderId="3" xfId="0" applyFont="1" applyFill="1" applyBorder="1" applyAlignment="1">
      <alignment horizontal="center" wrapText="1"/>
    </xf>
    <xf numFmtId="0" fontId="27" fillId="34" borderId="3" xfId="0" applyFont="1" applyFill="1" applyBorder="1" applyAlignment="1">
      <alignment horizontal="center" wrapText="1"/>
    </xf>
    <xf numFmtId="42" fontId="31" fillId="35" borderId="26" xfId="0" applyNumberFormat="1" applyFont="1" applyFill="1" applyBorder="1" applyAlignment="1">
      <alignment horizontal="right" wrapText="1"/>
    </xf>
    <xf numFmtId="0" fontId="27" fillId="1" borderId="19" xfId="0" applyFont="1" applyFill="1" applyBorder="1" applyAlignment="1">
      <alignment wrapText="1"/>
    </xf>
    <xf numFmtId="0" fontId="27" fillId="0" borderId="19" xfId="0" applyFont="1" applyBorder="1"/>
    <xf numFmtId="0" fontId="27" fillId="0" borderId="6" xfId="0" applyFont="1" applyBorder="1"/>
    <xf numFmtId="0" fontId="27" fillId="0" borderId="3" xfId="0" applyFont="1" applyBorder="1" applyAlignment="1">
      <alignment horizontal="center" wrapText="1"/>
    </xf>
    <xf numFmtId="0" fontId="27" fillId="0" borderId="19" xfId="0" applyFont="1" applyBorder="1" applyAlignment="1">
      <alignment horizontal="left" vertical="top"/>
    </xf>
    <xf numFmtId="0" fontId="27" fillId="0" borderId="6" xfId="0" applyFont="1" applyBorder="1" applyAlignment="1">
      <alignment horizontal="left" vertical="top" wrapText="1"/>
    </xf>
    <xf numFmtId="0" fontId="27" fillId="0" borderId="22" xfId="0" applyFont="1" applyBorder="1" applyAlignment="1">
      <alignment horizontal="center" wrapText="1"/>
    </xf>
    <xf numFmtId="0" fontId="27" fillId="0" borderId="1" xfId="0" applyFont="1" applyBorder="1" applyAlignment="1">
      <alignment horizontal="center" wrapText="1"/>
    </xf>
    <xf numFmtId="0" fontId="27" fillId="34" borderId="1" xfId="0" applyFont="1" applyFill="1" applyBorder="1" applyAlignment="1">
      <alignment horizontal="center" wrapText="1"/>
    </xf>
    <xf numFmtId="0" fontId="27" fillId="35" borderId="1" xfId="0" applyFont="1" applyFill="1" applyBorder="1" applyAlignment="1">
      <alignment horizontal="center" wrapText="1"/>
    </xf>
    <xf numFmtId="49" fontId="31" fillId="38" borderId="21" xfId="0" applyNumberFormat="1" applyFont="1" applyFill="1" applyBorder="1" applyAlignment="1">
      <alignment horizontal="center" wrapText="1"/>
    </xf>
    <xf numFmtId="0" fontId="31" fillId="38" borderId="21" xfId="0" applyFont="1" applyFill="1" applyBorder="1" applyAlignment="1">
      <alignment horizontal="center" wrapText="1"/>
    </xf>
    <xf numFmtId="0" fontId="31" fillId="38" borderId="21" xfId="0" applyFont="1" applyFill="1" applyBorder="1" applyAlignment="1">
      <alignment horizontal="left" wrapText="1"/>
    </xf>
    <xf numFmtId="42" fontId="31" fillId="38" borderId="21" xfId="28" applyNumberFormat="1" applyFont="1" applyFill="1" applyBorder="1" applyAlignment="1" applyProtection="1">
      <alignment horizontal="right" wrapText="1"/>
    </xf>
    <xf numFmtId="44" fontId="31" fillId="38" borderId="4" xfId="28" applyNumberFormat="1" applyFont="1" applyFill="1" applyBorder="1" applyAlignment="1" applyProtection="1">
      <alignment horizontal="right" wrapText="1"/>
    </xf>
    <xf numFmtId="3" fontId="31" fillId="38" borderId="21" xfId="0" applyNumberFormat="1" applyFont="1" applyFill="1" applyBorder="1" applyAlignment="1">
      <alignment horizontal="right" wrapText="1"/>
    </xf>
    <xf numFmtId="165" fontId="31" fillId="34" borderId="21" xfId="28" applyNumberFormat="1" applyFont="1" applyFill="1" applyBorder="1" applyAlignment="1" applyProtection="1">
      <alignment horizontal="right" wrapText="1"/>
    </xf>
    <xf numFmtId="42" fontId="31" fillId="34" borderId="21" xfId="28" applyNumberFormat="1" applyFont="1" applyFill="1" applyBorder="1" applyAlignment="1" applyProtection="1">
      <alignment horizontal="right" wrapText="1"/>
    </xf>
    <xf numFmtId="165" fontId="31" fillId="35" borderId="21" xfId="28" applyNumberFormat="1" applyFont="1" applyFill="1" applyBorder="1" applyAlignment="1" applyProtection="1">
      <alignment horizontal="right" wrapText="1"/>
    </xf>
    <xf numFmtId="42" fontId="31" fillId="35" borderId="21" xfId="28" applyNumberFormat="1" applyFont="1" applyFill="1" applyBorder="1" applyAlignment="1" applyProtection="1">
      <alignment horizontal="right" wrapText="1"/>
    </xf>
    <xf numFmtId="49" fontId="31" fillId="38" borderId="4" xfId="0" applyNumberFormat="1" applyFont="1" applyFill="1" applyBorder="1" applyAlignment="1">
      <alignment horizontal="center" wrapText="1"/>
    </xf>
    <xf numFmtId="0" fontId="31" fillId="38" borderId="4" xfId="0" applyFont="1" applyFill="1" applyBorder="1" applyAlignment="1">
      <alignment horizontal="center" wrapText="1"/>
    </xf>
    <xf numFmtId="0" fontId="31" fillId="38" borderId="4" xfId="0" applyFont="1" applyFill="1" applyBorder="1" applyAlignment="1">
      <alignment horizontal="left" wrapText="1"/>
    </xf>
    <xf numFmtId="41" fontId="31" fillId="38" borderId="4" xfId="28" applyNumberFormat="1" applyFont="1" applyFill="1" applyBorder="1" applyAlignment="1" applyProtection="1">
      <alignment horizontal="right" wrapText="1"/>
    </xf>
    <xf numFmtId="43" fontId="31" fillId="38" borderId="4" xfId="28" applyFont="1" applyFill="1" applyBorder="1" applyAlignment="1" applyProtection="1">
      <alignment horizontal="right" wrapText="1"/>
    </xf>
    <xf numFmtId="3" fontId="31" fillId="38" borderId="4" xfId="0" applyNumberFormat="1" applyFont="1" applyFill="1" applyBorder="1" applyAlignment="1">
      <alignment horizontal="right" wrapText="1"/>
    </xf>
    <xf numFmtId="41" fontId="31" fillId="34" borderId="4" xfId="28" applyNumberFormat="1" applyFont="1" applyFill="1" applyBorder="1" applyAlignment="1" applyProtection="1">
      <alignment horizontal="right" wrapText="1"/>
    </xf>
    <xf numFmtId="165" fontId="31" fillId="35" borderId="26" xfId="28" applyNumberFormat="1" applyFont="1" applyFill="1" applyBorder="1" applyAlignment="1" applyProtection="1">
      <alignment horizontal="right" wrapText="1"/>
    </xf>
    <xf numFmtId="41" fontId="31" fillId="35" borderId="4" xfId="28" applyNumberFormat="1" applyFont="1" applyFill="1" applyBorder="1" applyAlignment="1" applyProtection="1">
      <alignment horizontal="right" wrapText="1"/>
    </xf>
    <xf numFmtId="49" fontId="31" fillId="38" borderId="25" xfId="0" applyNumberFormat="1" applyFont="1" applyFill="1" applyBorder="1" applyAlignment="1">
      <alignment horizontal="center" wrapText="1"/>
    </xf>
    <xf numFmtId="0" fontId="31" fillId="38" borderId="25" xfId="0" applyFont="1" applyFill="1" applyBorder="1" applyAlignment="1">
      <alignment horizontal="center" wrapText="1"/>
    </xf>
    <xf numFmtId="0" fontId="31" fillId="38" borderId="25" xfId="0" applyFont="1" applyFill="1" applyBorder="1" applyAlignment="1">
      <alignment horizontal="left" wrapText="1"/>
    </xf>
    <xf numFmtId="49" fontId="31" fillId="38" borderId="23" xfId="0" applyNumberFormat="1" applyFont="1" applyFill="1" applyBorder="1" applyAlignment="1">
      <alignment horizontal="center" wrapText="1"/>
    </xf>
    <xf numFmtId="0" fontId="31" fillId="38" borderId="23" xfId="0" applyFont="1" applyFill="1" applyBorder="1" applyAlignment="1">
      <alignment horizontal="center" wrapText="1"/>
    </xf>
    <xf numFmtId="0" fontId="31" fillId="38" borderId="23" xfId="0" applyFont="1" applyFill="1" applyBorder="1" applyAlignment="1">
      <alignment horizontal="left" wrapText="1"/>
    </xf>
    <xf numFmtId="41" fontId="31" fillId="38" borderId="23" xfId="28" applyNumberFormat="1" applyFont="1" applyFill="1" applyBorder="1" applyAlignment="1" applyProtection="1">
      <alignment horizontal="right" wrapText="1"/>
    </xf>
    <xf numFmtId="3" fontId="31" fillId="38" borderId="23" xfId="0" applyNumberFormat="1" applyFont="1" applyFill="1" applyBorder="1" applyAlignment="1">
      <alignment horizontal="right" wrapText="1"/>
    </xf>
    <xf numFmtId="41" fontId="31" fillId="34" borderId="23" xfId="28" applyNumberFormat="1" applyFont="1" applyFill="1" applyBorder="1" applyAlignment="1" applyProtection="1">
      <alignment horizontal="right" wrapText="1"/>
    </xf>
    <xf numFmtId="42" fontId="27" fillId="34" borderId="3" xfId="35" applyNumberFormat="1" applyFont="1" applyFill="1" applyBorder="1" applyProtection="1"/>
    <xf numFmtId="164" fontId="27" fillId="35" borderId="3" xfId="35" applyNumberFormat="1" applyFont="1" applyFill="1" applyBorder="1" applyProtection="1"/>
    <xf numFmtId="0" fontId="27" fillId="0" borderId="6" xfId="0" applyFont="1" applyBorder="1" applyAlignment="1">
      <alignment vertical="top"/>
    </xf>
    <xf numFmtId="0" fontId="32" fillId="0" borderId="19" xfId="0" applyFont="1" applyBorder="1" applyAlignment="1">
      <alignment horizontal="left" vertical="top" wrapText="1"/>
    </xf>
    <xf numFmtId="0" fontId="32" fillId="0" borderId="6" xfId="0" applyFont="1" applyBorder="1" applyAlignment="1">
      <alignment horizontal="left" vertical="top" wrapText="1"/>
    </xf>
    <xf numFmtId="0" fontId="27" fillId="36" borderId="1" xfId="0" applyFont="1" applyFill="1" applyBorder="1" applyAlignment="1">
      <alignment horizontal="center" wrapText="1"/>
    </xf>
    <xf numFmtId="0" fontId="27" fillId="36" borderId="3" xfId="0" applyFont="1" applyFill="1" applyBorder="1" applyAlignment="1">
      <alignment horizontal="center" wrapText="1"/>
    </xf>
    <xf numFmtId="0" fontId="31" fillId="38" borderId="21" xfId="0" applyFont="1" applyFill="1" applyBorder="1" applyAlignment="1">
      <alignment horizontal="left"/>
    </xf>
    <xf numFmtId="42" fontId="31" fillId="34" borderId="26" xfId="28" applyNumberFormat="1" applyFont="1" applyFill="1" applyBorder="1" applyAlignment="1" applyProtection="1">
      <alignment horizontal="right" wrapText="1"/>
    </xf>
    <xf numFmtId="42" fontId="31" fillId="35" borderId="26" xfId="28" applyNumberFormat="1" applyFont="1" applyFill="1" applyBorder="1" applyAlignment="1" applyProtection="1">
      <alignment horizontal="right" wrapText="1"/>
    </xf>
    <xf numFmtId="0" fontId="31" fillId="38" borderId="4" xfId="0" applyFont="1" applyFill="1" applyBorder="1" applyAlignment="1">
      <alignment horizontal="left"/>
    </xf>
    <xf numFmtId="49" fontId="31" fillId="38" borderId="26" xfId="0" applyNumberFormat="1" applyFont="1" applyFill="1" applyBorder="1" applyAlignment="1">
      <alignment horizontal="center" wrapText="1"/>
    </xf>
    <xf numFmtId="0" fontId="31" fillId="38" borderId="26" xfId="0" applyFont="1" applyFill="1" applyBorder="1" applyAlignment="1">
      <alignment horizontal="center" wrapText="1"/>
    </xf>
    <xf numFmtId="0" fontId="31" fillId="38" borderId="26" xfId="0" applyFont="1" applyFill="1" applyBorder="1" applyAlignment="1">
      <alignment horizontal="left"/>
    </xf>
    <xf numFmtId="44" fontId="31" fillId="38" borderId="26" xfId="28" applyNumberFormat="1" applyFont="1" applyFill="1" applyBorder="1" applyAlignment="1" applyProtection="1">
      <alignment horizontal="right" wrapText="1"/>
    </xf>
    <xf numFmtId="43" fontId="31" fillId="38" borderId="26" xfId="28" applyFont="1" applyFill="1" applyBorder="1" applyAlignment="1" applyProtection="1">
      <alignment horizontal="right" wrapText="1"/>
    </xf>
    <xf numFmtId="41" fontId="31" fillId="34" borderId="26" xfId="28" applyNumberFormat="1" applyFont="1" applyFill="1" applyBorder="1" applyAlignment="1" applyProtection="1">
      <alignment horizontal="right" wrapText="1"/>
    </xf>
    <xf numFmtId="41" fontId="31" fillId="35" borderId="26" xfId="28" applyNumberFormat="1" applyFont="1" applyFill="1" applyBorder="1" applyAlignment="1" applyProtection="1">
      <alignment horizontal="right" wrapText="1"/>
    </xf>
    <xf numFmtId="0" fontId="31" fillId="38" borderId="5" xfId="0" applyFont="1" applyFill="1" applyBorder="1" applyAlignment="1">
      <alignment horizontal="left"/>
    </xf>
    <xf numFmtId="0" fontId="27" fillId="0" borderId="19" xfId="0" applyFont="1" applyBorder="1" applyAlignment="1">
      <alignment vertical="top"/>
    </xf>
    <xf numFmtId="0" fontId="33" fillId="0" borderId="19" xfId="0" applyFont="1" applyBorder="1" applyAlignment="1">
      <alignment horizontal="left" vertical="top" wrapText="1"/>
    </xf>
    <xf numFmtId="165" fontId="31" fillId="38" borderId="4" xfId="28" applyNumberFormat="1" applyFont="1" applyFill="1" applyBorder="1" applyAlignment="1" applyProtection="1">
      <alignment horizontal="right" wrapText="1"/>
    </xf>
    <xf numFmtId="165" fontId="31" fillId="38" borderId="26" xfId="28" applyNumberFormat="1" applyFont="1" applyFill="1" applyBorder="1" applyAlignment="1" applyProtection="1">
      <alignment horizontal="right" wrapText="1"/>
    </xf>
    <xf numFmtId="0" fontId="30" fillId="0" borderId="6" xfId="0" applyFont="1" applyBorder="1" applyAlignment="1">
      <alignment vertical="top"/>
    </xf>
    <xf numFmtId="42" fontId="31" fillId="34" borderId="23" xfId="0" applyNumberFormat="1" applyFont="1" applyFill="1" applyBorder="1" applyAlignment="1">
      <alignment horizontal="right" wrapText="1"/>
    </xf>
    <xf numFmtId="42" fontId="31" fillId="35" borderId="23" xfId="0" applyNumberFormat="1" applyFont="1" applyFill="1" applyBorder="1" applyAlignment="1">
      <alignment horizontal="right" wrapText="1"/>
    </xf>
    <xf numFmtId="49" fontId="27" fillId="0" borderId="0" xfId="0" applyNumberFormat="1" applyFont="1"/>
    <xf numFmtId="0" fontId="27" fillId="0" borderId="3" xfId="0" applyFont="1" applyBorder="1" applyAlignment="1">
      <alignment vertical="top"/>
    </xf>
    <xf numFmtId="164" fontId="27" fillId="0" borderId="0" xfId="35" applyNumberFormat="1" applyFont="1" applyFill="1" applyBorder="1" applyAlignment="1" applyProtection="1">
      <alignment horizontal="right" wrapText="1"/>
    </xf>
    <xf numFmtId="42" fontId="31" fillId="34" borderId="4" xfId="28" applyNumberFormat="1" applyFont="1" applyFill="1" applyBorder="1" applyAlignment="1" applyProtection="1">
      <alignment horizontal="right" wrapText="1"/>
    </xf>
    <xf numFmtId="41" fontId="31" fillId="34" borderId="25" xfId="28" applyNumberFormat="1" applyFont="1" applyFill="1" applyBorder="1" applyAlignment="1" applyProtection="1">
      <alignment horizontal="right" wrapText="1"/>
    </xf>
    <xf numFmtId="0" fontId="32" fillId="0" borderId="50" xfId="0" applyFont="1" applyBorder="1" applyAlignment="1">
      <alignment horizontal="left" vertical="top" wrapText="1"/>
    </xf>
    <xf numFmtId="42" fontId="31" fillId="34" borderId="26" xfId="0" applyNumberFormat="1" applyFont="1" applyFill="1" applyBorder="1" applyAlignment="1">
      <alignment horizontal="right" wrapText="1"/>
    </xf>
    <xf numFmtId="14" fontId="0" fillId="36" borderId="0" xfId="0" applyNumberFormat="1" applyFill="1"/>
    <xf numFmtId="0" fontId="0" fillId="36" borderId="0" xfId="0" applyFill="1"/>
    <xf numFmtId="0" fontId="35" fillId="36" borderId="0" xfId="0" applyFont="1" applyFill="1" applyAlignment="1">
      <alignment horizontal="center"/>
    </xf>
    <xf numFmtId="0" fontId="25" fillId="0" borderId="28" xfId="0" applyFont="1" applyBorder="1"/>
    <xf numFmtId="49" fontId="31" fillId="38" borderId="54" xfId="0" applyNumberFormat="1" applyFont="1" applyFill="1" applyBorder="1" applyAlignment="1">
      <alignment horizontal="center" wrapText="1"/>
    </xf>
    <xf numFmtId="42" fontId="2" fillId="36" borderId="56" xfId="0" applyNumberFormat="1" applyFont="1" applyFill="1" applyBorder="1" applyAlignment="1" applyProtection="1">
      <alignment horizontal="right" wrapText="1"/>
      <protection locked="0"/>
    </xf>
    <xf numFmtId="0" fontId="31" fillId="38" borderId="55" xfId="0" applyFont="1" applyFill="1" applyBorder="1" applyAlignment="1">
      <alignment horizontal="center" wrapText="1"/>
    </xf>
    <xf numFmtId="42" fontId="31" fillId="36" borderId="56" xfId="0" applyNumberFormat="1" applyFont="1" applyFill="1" applyBorder="1" applyAlignment="1" applyProtection="1">
      <alignment horizontal="right" wrapText="1"/>
      <protection locked="0"/>
    </xf>
    <xf numFmtId="41" fontId="31" fillId="36" borderId="56" xfId="0" applyNumberFormat="1" applyFont="1" applyFill="1" applyBorder="1" applyAlignment="1" applyProtection="1">
      <alignment horizontal="right" wrapText="1"/>
      <protection locked="0"/>
    </xf>
    <xf numFmtId="0" fontId="31" fillId="36" borderId="0" xfId="0" applyFont="1" applyFill="1" applyProtection="1">
      <protection locked="0"/>
    </xf>
    <xf numFmtId="0" fontId="27" fillId="0" borderId="28" xfId="0" applyFont="1" applyBorder="1" applyProtection="1">
      <protection locked="0"/>
    </xf>
    <xf numFmtId="0" fontId="3" fillId="37" borderId="0" xfId="0" applyFont="1" applyFill="1" applyAlignment="1">
      <alignment horizontal="left"/>
    </xf>
    <xf numFmtId="42" fontId="31" fillId="38" borderId="4" xfId="28" applyNumberFormat="1" applyFont="1" applyFill="1" applyBorder="1" applyAlignment="1" applyProtection="1">
      <alignment horizontal="right" wrapText="1"/>
    </xf>
    <xf numFmtId="43" fontId="31" fillId="38" borderId="4" xfId="0" applyNumberFormat="1" applyFont="1" applyFill="1" applyBorder="1" applyAlignment="1">
      <alignment horizontal="right" wrapText="1"/>
    </xf>
    <xf numFmtId="0" fontId="31" fillId="0" borderId="6" xfId="0" applyFont="1" applyBorder="1"/>
    <xf numFmtId="42" fontId="2" fillId="38" borderId="26" xfId="0" applyNumberFormat="1" applyFont="1" applyFill="1" applyBorder="1" applyAlignment="1">
      <alignment horizontal="right" wrapText="1"/>
    </xf>
    <xf numFmtId="42" fontId="2" fillId="38" borderId="2" xfId="0" applyNumberFormat="1" applyFont="1" applyFill="1" applyBorder="1" applyAlignment="1">
      <alignment horizontal="right" wrapText="1"/>
    </xf>
    <xf numFmtId="39" fontId="31" fillId="38" borderId="4" xfId="28" applyNumberFormat="1" applyFont="1" applyFill="1" applyBorder="1" applyAlignment="1" applyProtection="1">
      <alignment horizontal="right" wrapText="1"/>
    </xf>
    <xf numFmtId="44" fontId="31" fillId="36" borderId="21" xfId="35" applyFont="1" applyFill="1" applyBorder="1" applyAlignment="1" applyProtection="1">
      <alignment horizontal="right" wrapText="1"/>
      <protection locked="0"/>
    </xf>
    <xf numFmtId="44" fontId="31" fillId="36" borderId="4" xfId="35" applyFont="1" applyFill="1" applyBorder="1" applyAlignment="1" applyProtection="1">
      <alignment horizontal="right" wrapText="1"/>
      <protection locked="0"/>
    </xf>
    <xf numFmtId="44" fontId="31" fillId="36" borderId="26" xfId="35" applyFont="1" applyFill="1" applyBorder="1" applyAlignment="1" applyProtection="1">
      <alignment horizontal="right" wrapText="1"/>
      <protection locked="0"/>
    </xf>
    <xf numFmtId="49" fontId="31" fillId="0" borderId="44" xfId="0" applyNumberFormat="1" applyFont="1" applyBorder="1" applyAlignment="1">
      <alignment horizontal="center" wrapText="1"/>
    </xf>
    <xf numFmtId="0" fontId="31" fillId="0" borderId="0" xfId="0" applyFont="1" applyAlignment="1">
      <alignment horizontal="center" wrapText="1"/>
    </xf>
    <xf numFmtId="0" fontId="31" fillId="0" borderId="0" xfId="0" applyFont="1" applyAlignment="1">
      <alignment horizontal="left"/>
    </xf>
    <xf numFmtId="39" fontId="31" fillId="0" borderId="13" xfId="28" applyNumberFormat="1" applyFont="1" applyFill="1" applyBorder="1" applyAlignment="1" applyProtection="1">
      <alignment horizontal="right" wrapText="1"/>
    </xf>
    <xf numFmtId="165" fontId="31" fillId="0" borderId="13" xfId="28" applyNumberFormat="1" applyFont="1" applyFill="1" applyBorder="1" applyAlignment="1" applyProtection="1">
      <alignment horizontal="right" wrapText="1"/>
    </xf>
    <xf numFmtId="2" fontId="0" fillId="0" borderId="0" xfId="0" applyNumberFormat="1"/>
    <xf numFmtId="164" fontId="27" fillId="34" borderId="0" xfId="35" applyNumberFormat="1" applyFont="1" applyFill="1" applyBorder="1" applyProtection="1"/>
    <xf numFmtId="164" fontId="27" fillId="35" borderId="0" xfId="35" applyNumberFormat="1" applyFont="1" applyFill="1" applyBorder="1" applyProtection="1"/>
    <xf numFmtId="0" fontId="0" fillId="0" borderId="0" xfId="0" applyAlignment="1">
      <alignment horizontal="center"/>
    </xf>
    <xf numFmtId="0" fontId="0" fillId="0" borderId="0" xfId="0" applyAlignment="1">
      <alignment horizontal="center" wrapText="1"/>
    </xf>
    <xf numFmtId="0" fontId="40" fillId="0" borderId="19" xfId="0" applyFont="1" applyBorder="1" applyAlignment="1">
      <alignment horizontal="left"/>
    </xf>
    <xf numFmtId="0" fontId="27" fillId="34" borderId="22" xfId="0" applyFont="1" applyFill="1" applyBorder="1" applyAlignment="1">
      <alignment wrapText="1"/>
    </xf>
    <xf numFmtId="41" fontId="0" fillId="0" borderId="0" xfId="0" applyNumberFormat="1" applyProtection="1">
      <protection locked="0"/>
    </xf>
    <xf numFmtId="164" fontId="0" fillId="0" borderId="0" xfId="0" applyNumberFormat="1" applyProtection="1">
      <protection locked="0"/>
    </xf>
    <xf numFmtId="165" fontId="0" fillId="0" borderId="0" xfId="28" applyNumberFormat="1" applyFont="1" applyProtection="1">
      <protection locked="0"/>
    </xf>
    <xf numFmtId="0" fontId="0" fillId="0" borderId="0" xfId="0" applyAlignment="1">
      <alignment wrapText="1"/>
    </xf>
    <xf numFmtId="0" fontId="40" fillId="0" borderId="59" xfId="0" applyFont="1" applyBorder="1" applyAlignment="1">
      <alignment horizontal="left"/>
    </xf>
    <xf numFmtId="0" fontId="32" fillId="0" borderId="28" xfId="0" applyFont="1" applyBorder="1" applyAlignment="1">
      <alignment horizontal="left" vertical="top" wrapText="1"/>
    </xf>
    <xf numFmtId="0" fontId="27" fillId="0" borderId="13" xfId="0" applyFont="1" applyBorder="1" applyAlignment="1">
      <alignment horizontal="center" wrapText="1"/>
    </xf>
    <xf numFmtId="0" fontId="27" fillId="0" borderId="2" xfId="0" applyFont="1" applyBorder="1" applyAlignment="1">
      <alignment horizontal="center" wrapText="1"/>
    </xf>
    <xf numFmtId="49" fontId="31" fillId="0" borderId="28" xfId="0" quotePrefix="1" applyNumberFormat="1" applyFont="1" applyBorder="1" applyAlignment="1">
      <alignment horizontal="center" wrapText="1"/>
    </xf>
    <xf numFmtId="0" fontId="31" fillId="0" borderId="28" xfId="0" applyFont="1" applyBorder="1" applyAlignment="1">
      <alignment horizontal="left" wrapText="1"/>
    </xf>
    <xf numFmtId="42" fontId="2" fillId="0" borderId="28" xfId="0" applyNumberFormat="1" applyFont="1" applyBorder="1" applyAlignment="1">
      <alignment horizontal="right" wrapText="1"/>
    </xf>
    <xf numFmtId="165" fontId="31" fillId="0" borderId="28" xfId="28" applyNumberFormat="1" applyFont="1" applyFill="1" applyBorder="1" applyAlignment="1" applyProtection="1">
      <alignment horizontal="right" wrapText="1"/>
    </xf>
    <xf numFmtId="164" fontId="31" fillId="38" borderId="26" xfId="35" applyNumberFormat="1" applyFont="1" applyFill="1" applyBorder="1" applyAlignment="1" applyProtection="1">
      <alignment horizontal="left" wrapText="1"/>
    </xf>
    <xf numFmtId="164" fontId="31" fillId="38" borderId="26" xfId="35" applyNumberFormat="1" applyFont="1" applyFill="1" applyBorder="1" applyAlignment="1" applyProtection="1">
      <alignment horizontal="right" wrapText="1"/>
    </xf>
    <xf numFmtId="165" fontId="31" fillId="38" borderId="4" xfId="28" applyNumberFormat="1" applyFont="1" applyFill="1" applyBorder="1" applyAlignment="1" applyProtection="1">
      <alignment horizontal="left" wrapText="1"/>
    </xf>
    <xf numFmtId="165" fontId="31" fillId="38" borderId="25" xfId="28" applyNumberFormat="1" applyFont="1" applyFill="1" applyBorder="1" applyAlignment="1" applyProtection="1">
      <alignment horizontal="left" wrapText="1"/>
    </xf>
    <xf numFmtId="0" fontId="27" fillId="0" borderId="28" xfId="0" applyFont="1" applyBorder="1"/>
    <xf numFmtId="0" fontId="31" fillId="38" borderId="23" xfId="0" applyFont="1" applyFill="1" applyBorder="1" applyAlignment="1">
      <alignment horizontal="left"/>
    </xf>
    <xf numFmtId="0" fontId="31" fillId="38" borderId="21" xfId="0" applyFont="1" applyFill="1" applyBorder="1"/>
    <xf numFmtId="165" fontId="31" fillId="38" borderId="21" xfId="28" applyNumberFormat="1" applyFont="1" applyFill="1" applyBorder="1" applyAlignment="1" applyProtection="1">
      <alignment horizontal="right" wrapText="1"/>
    </xf>
    <xf numFmtId="44" fontId="31" fillId="36" borderId="21" xfId="0" applyNumberFormat="1" applyFont="1" applyFill="1" applyBorder="1" applyAlignment="1" applyProtection="1">
      <alignment horizontal="right" wrapText="1"/>
      <protection locked="0"/>
    </xf>
    <xf numFmtId="0" fontId="31" fillId="38" borderId="4" xfId="0" applyFont="1" applyFill="1" applyBorder="1"/>
    <xf numFmtId="165" fontId="31" fillId="38" borderId="23" xfId="28" applyNumberFormat="1" applyFont="1" applyFill="1" applyBorder="1" applyAlignment="1" applyProtection="1">
      <alignment horizontal="right" wrapText="1"/>
    </xf>
    <xf numFmtId="43" fontId="31" fillId="36" borderId="23" xfId="0" applyNumberFormat="1" applyFont="1" applyFill="1" applyBorder="1" applyAlignment="1" applyProtection="1">
      <alignment horizontal="right" wrapText="1"/>
      <protection locked="0"/>
    </xf>
    <xf numFmtId="42" fontId="31" fillId="38" borderId="21" xfId="0" applyNumberFormat="1" applyFont="1" applyFill="1" applyBorder="1" applyAlignment="1">
      <alignment horizontal="right" wrapText="1"/>
    </xf>
    <xf numFmtId="41" fontId="31" fillId="38" borderId="4" xfId="0" applyNumberFormat="1" applyFont="1" applyFill="1" applyBorder="1" applyAlignment="1">
      <alignment horizontal="right" wrapText="1"/>
    </xf>
    <xf numFmtId="41" fontId="31" fillId="38" borderId="23" xfId="0" applyNumberFormat="1" applyFont="1" applyFill="1" applyBorder="1" applyAlignment="1">
      <alignment horizontal="right" wrapText="1"/>
    </xf>
    <xf numFmtId="0" fontId="27" fillId="34" borderId="3" xfId="0" applyFont="1" applyFill="1" applyBorder="1" applyAlignment="1">
      <alignment wrapText="1"/>
    </xf>
    <xf numFmtId="0" fontId="27" fillId="35" borderId="3" xfId="0" applyFont="1" applyFill="1" applyBorder="1" applyAlignment="1">
      <alignment wrapText="1"/>
    </xf>
    <xf numFmtId="0" fontId="27" fillId="0" borderId="6" xfId="0" applyFont="1" applyBorder="1" applyAlignment="1">
      <alignment wrapText="1"/>
    </xf>
    <xf numFmtId="0" fontId="27" fillId="0" borderId="28" xfId="0" applyFont="1" applyBorder="1" applyAlignment="1">
      <alignment wrapText="1"/>
    </xf>
    <xf numFmtId="164" fontId="27" fillId="0" borderId="0" xfId="35" applyNumberFormat="1" applyFont="1" applyFill="1" applyBorder="1" applyProtection="1"/>
    <xf numFmtId="42" fontId="31" fillId="0" borderId="0" xfId="28" applyNumberFormat="1" applyFont="1" applyFill="1" applyBorder="1" applyAlignment="1" applyProtection="1">
      <alignment horizontal="right" wrapText="1"/>
    </xf>
    <xf numFmtId="42" fontId="31" fillId="34" borderId="3" xfId="28" applyNumberFormat="1" applyFont="1" applyFill="1" applyBorder="1" applyAlignment="1" applyProtection="1">
      <alignment horizontal="right" wrapText="1"/>
    </xf>
    <xf numFmtId="42" fontId="31" fillId="35" borderId="3" xfId="28" applyNumberFormat="1" applyFont="1" applyFill="1" applyBorder="1" applyAlignment="1" applyProtection="1">
      <alignment horizontal="right" wrapText="1"/>
    </xf>
    <xf numFmtId="49" fontId="31" fillId="0" borderId="44" xfId="0" quotePrefix="1" applyNumberFormat="1" applyFont="1" applyBorder="1" applyAlignment="1">
      <alignment horizontal="center" wrapText="1"/>
    </xf>
    <xf numFmtId="0" fontId="31" fillId="0" borderId="58" xfId="0" applyFont="1" applyBorder="1" applyAlignment="1">
      <alignment horizontal="left" wrapText="1"/>
    </xf>
    <xf numFmtId="42" fontId="2" fillId="0" borderId="13" xfId="0" applyNumberFormat="1" applyFont="1" applyBorder="1" applyAlignment="1">
      <alignment horizontal="right" wrapText="1"/>
    </xf>
    <xf numFmtId="0" fontId="0" fillId="0" borderId="0" xfId="0" pivotButton="1"/>
    <xf numFmtId="0" fontId="31" fillId="0" borderId="1" xfId="0" applyFont="1" applyBorder="1" applyAlignment="1">
      <alignment horizontal="center" wrapText="1"/>
    </xf>
    <xf numFmtId="0" fontId="31" fillId="0" borderId="57" xfId="0" applyFont="1" applyBorder="1" applyAlignment="1">
      <alignment horizontal="left" wrapText="1"/>
    </xf>
    <xf numFmtId="165" fontId="31" fillId="0" borderId="57" xfId="0" applyNumberFormat="1" applyFont="1" applyBorder="1" applyAlignment="1">
      <alignment horizontal="left" wrapText="1"/>
    </xf>
    <xf numFmtId="0" fontId="27" fillId="0" borderId="59" xfId="0" applyFont="1" applyBorder="1"/>
    <xf numFmtId="49" fontId="31" fillId="0" borderId="0" xfId="0" applyNumberFormat="1" applyFont="1" applyAlignment="1">
      <alignment horizontal="center" wrapText="1"/>
    </xf>
    <xf numFmtId="165" fontId="31" fillId="0" borderId="0" xfId="28" applyNumberFormat="1" applyFont="1" applyFill="1" applyBorder="1" applyAlignment="1" applyProtection="1">
      <alignment horizontal="right" wrapText="1"/>
    </xf>
    <xf numFmtId="44" fontId="31" fillId="0" borderId="0" xfId="0" applyNumberFormat="1" applyFont="1" applyAlignment="1" applyProtection="1">
      <alignment horizontal="right" wrapText="1"/>
      <protection locked="0"/>
    </xf>
    <xf numFmtId="0" fontId="27" fillId="0" borderId="21" xfId="0" applyFont="1" applyBorder="1"/>
    <xf numFmtId="165" fontId="31" fillId="0" borderId="23" xfId="28" applyNumberFormat="1" applyFont="1" applyFill="1" applyBorder="1" applyAlignment="1" applyProtection="1">
      <alignment horizontal="right" wrapText="1"/>
    </xf>
    <xf numFmtId="44" fontId="31" fillId="0" borderId="23" xfId="0" applyNumberFormat="1" applyFont="1" applyBorder="1" applyAlignment="1" applyProtection="1">
      <alignment horizontal="right" wrapText="1"/>
      <protection locked="0"/>
    </xf>
    <xf numFmtId="0" fontId="31" fillId="0" borderId="23" xfId="0" applyFont="1" applyBorder="1" applyAlignment="1">
      <alignment wrapText="1"/>
    </xf>
    <xf numFmtId="0" fontId="27" fillId="39" borderId="19" xfId="0" applyFont="1" applyFill="1" applyBorder="1"/>
    <xf numFmtId="0" fontId="27" fillId="39" borderId="6" xfId="0" applyFont="1" applyFill="1" applyBorder="1"/>
    <xf numFmtId="41" fontId="27" fillId="39" borderId="3" xfId="28" applyNumberFormat="1" applyFont="1" applyFill="1" applyBorder="1" applyProtection="1"/>
    <xf numFmtId="0" fontId="31" fillId="39" borderId="0" xfId="0" applyFont="1" applyFill="1" applyProtection="1">
      <protection locked="0"/>
    </xf>
    <xf numFmtId="42" fontId="27" fillId="39" borderId="3" xfId="35" applyNumberFormat="1" applyFont="1" applyFill="1" applyBorder="1" applyProtection="1"/>
    <xf numFmtId="0" fontId="27" fillId="39" borderId="0" xfId="0" applyFont="1" applyFill="1"/>
    <xf numFmtId="164" fontId="27" fillId="39" borderId="0" xfId="35" applyNumberFormat="1" applyFont="1" applyFill="1" applyBorder="1" applyProtection="1"/>
    <xf numFmtId="42" fontId="31" fillId="39" borderId="0" xfId="0" applyNumberFormat="1" applyFont="1" applyFill="1" applyProtection="1">
      <protection locked="0"/>
    </xf>
    <xf numFmtId="49" fontId="31" fillId="0" borderId="57" xfId="0" applyNumberFormat="1" applyFont="1" applyBorder="1" applyAlignment="1">
      <alignment horizontal="center" wrapText="1"/>
    </xf>
    <xf numFmtId="0" fontId="31" fillId="0" borderId="50" xfId="0" applyFont="1" applyBorder="1" applyAlignment="1">
      <alignment horizontal="center" wrapText="1"/>
    </xf>
    <xf numFmtId="0" fontId="31" fillId="0" borderId="50" xfId="0" applyFont="1" applyBorder="1" applyAlignment="1">
      <alignment horizontal="left" wrapText="1"/>
    </xf>
    <xf numFmtId="42" fontId="31" fillId="0" borderId="57" xfId="28" applyNumberFormat="1" applyFont="1" applyFill="1" applyBorder="1" applyAlignment="1" applyProtection="1">
      <alignment horizontal="right" wrapText="1"/>
    </xf>
    <xf numFmtId="42" fontId="31" fillId="0" borderId="50" xfId="28" applyNumberFormat="1" applyFont="1" applyFill="1" applyBorder="1" applyAlignment="1" applyProtection="1">
      <alignment horizontal="right" wrapText="1"/>
    </xf>
    <xf numFmtId="169" fontId="31" fillId="0" borderId="50" xfId="28" applyNumberFormat="1" applyFont="1" applyFill="1" applyBorder="1" applyAlignment="1" applyProtection="1">
      <alignment horizontal="right" wrapText="1"/>
    </xf>
    <xf numFmtId="42" fontId="31" fillId="0" borderId="61" xfId="28" applyNumberFormat="1" applyFont="1" applyFill="1" applyBorder="1" applyAlignment="1" applyProtection="1">
      <alignment horizontal="right" wrapText="1"/>
    </xf>
    <xf numFmtId="49" fontId="27" fillId="39" borderId="19" xfId="0" applyNumberFormat="1" applyFont="1" applyFill="1" applyBorder="1"/>
    <xf numFmtId="49" fontId="27" fillId="39" borderId="6" xfId="0" applyNumberFormat="1" applyFont="1" applyFill="1" applyBorder="1"/>
    <xf numFmtId="164" fontId="27" fillId="39" borderId="20" xfId="35" applyNumberFormat="1" applyFont="1" applyFill="1" applyBorder="1" applyAlignment="1" applyProtection="1">
      <alignment horizontal="right" wrapText="1"/>
    </xf>
    <xf numFmtId="42" fontId="27" fillId="39" borderId="3" xfId="35" applyNumberFormat="1" applyFont="1" applyFill="1" applyBorder="1" applyAlignment="1" applyProtection="1">
      <alignment horizontal="right" wrapText="1"/>
    </xf>
    <xf numFmtId="0" fontId="31" fillId="0" borderId="6" xfId="0" applyFont="1" applyBorder="1" applyProtection="1">
      <protection locked="0"/>
    </xf>
    <xf numFmtId="3" fontId="31" fillId="0" borderId="3" xfId="0" applyNumberFormat="1" applyFont="1" applyBorder="1" applyAlignment="1">
      <alignment horizontal="right" wrapText="1"/>
    </xf>
    <xf numFmtId="164" fontId="27" fillId="0" borderId="3" xfId="35" applyNumberFormat="1" applyFont="1" applyFill="1" applyBorder="1" applyProtection="1"/>
    <xf numFmtId="42" fontId="31" fillId="0" borderId="26" xfId="28" applyNumberFormat="1" applyFont="1" applyFill="1" applyBorder="1" applyAlignment="1" applyProtection="1">
      <alignment horizontal="right" wrapText="1"/>
    </xf>
    <xf numFmtId="0" fontId="42" fillId="0" borderId="0" xfId="0" applyFont="1"/>
    <xf numFmtId="0" fontId="31" fillId="38" borderId="23" xfId="0" applyFont="1" applyFill="1" applyBorder="1" applyAlignment="1">
      <alignment wrapText="1"/>
    </xf>
    <xf numFmtId="165" fontId="43" fillId="0" borderId="0" xfId="28" applyNumberFormat="1" applyFont="1" applyProtection="1">
      <protection locked="0"/>
    </xf>
    <xf numFmtId="0" fontId="43" fillId="0" borderId="0" xfId="0" applyFont="1" applyProtection="1">
      <protection locked="0"/>
    </xf>
    <xf numFmtId="0" fontId="43" fillId="0" borderId="0" xfId="0" applyFont="1" applyAlignment="1" applyProtection="1">
      <alignment horizontal="right"/>
      <protection locked="0"/>
    </xf>
    <xf numFmtId="0" fontId="44" fillId="0" borderId="0" xfId="0" applyFont="1" applyAlignment="1" applyProtection="1">
      <alignment horizontal="left"/>
      <protection locked="0"/>
    </xf>
    <xf numFmtId="0" fontId="45" fillId="0" borderId="0" xfId="0" applyFont="1" applyProtection="1">
      <protection locked="0"/>
    </xf>
    <xf numFmtId="0" fontId="44" fillId="0" borderId="0" xfId="0" applyFont="1" applyAlignment="1" applyProtection="1">
      <alignment horizontal="left" wrapText="1"/>
      <protection locked="0"/>
    </xf>
    <xf numFmtId="0" fontId="46" fillId="38" borderId="0" xfId="0" applyFont="1" applyFill="1" applyAlignment="1" applyProtection="1">
      <alignment horizontal="right"/>
      <protection locked="0"/>
    </xf>
    <xf numFmtId="0" fontId="46" fillId="0" borderId="0" xfId="0" applyFont="1" applyAlignment="1">
      <alignment horizontal="left" wrapText="1"/>
    </xf>
    <xf numFmtId="0" fontId="46" fillId="0" borderId="0" xfId="0" applyFont="1" applyAlignment="1" applyProtection="1">
      <alignment wrapText="1"/>
      <protection locked="0"/>
    </xf>
    <xf numFmtId="0" fontId="46" fillId="33" borderId="6" xfId="0" applyFont="1" applyFill="1" applyBorder="1" applyAlignment="1" applyProtection="1">
      <alignment wrapText="1"/>
      <protection locked="0"/>
    </xf>
    <xf numFmtId="0" fontId="46" fillId="0" borderId="0" xfId="0" applyFont="1" applyAlignment="1" applyProtection="1">
      <alignment horizontal="left" wrapText="1"/>
      <protection locked="0"/>
    </xf>
    <xf numFmtId="0" fontId="46" fillId="0" borderId="0" xfId="0" applyFont="1" applyAlignment="1" applyProtection="1">
      <alignment horizontal="right" wrapText="1"/>
      <protection locked="0"/>
    </xf>
    <xf numFmtId="0" fontId="46" fillId="38" borderId="0" xfId="0" applyFont="1" applyFill="1"/>
    <xf numFmtId="0" fontId="47" fillId="0" borderId="0" xfId="0" applyFont="1" applyProtection="1">
      <protection locked="0"/>
    </xf>
    <xf numFmtId="0" fontId="46" fillId="34" borderId="8" xfId="0" applyFont="1" applyFill="1" applyBorder="1" applyAlignment="1">
      <alignment horizontal="center" wrapText="1"/>
    </xf>
    <xf numFmtId="165" fontId="46" fillId="34" borderId="10" xfId="28" applyNumberFormat="1" applyFont="1" applyFill="1" applyBorder="1" applyAlignment="1" applyProtection="1">
      <alignment horizontal="right" wrapText="1"/>
    </xf>
    <xf numFmtId="165" fontId="46" fillId="34" borderId="4" xfId="28" applyNumberFormat="1" applyFont="1" applyFill="1" applyBorder="1" applyAlignment="1" applyProtection="1">
      <alignment horizontal="right" wrapText="1"/>
    </xf>
    <xf numFmtId="0" fontId="46" fillId="0" borderId="60" xfId="0" applyFont="1" applyBorder="1" applyAlignment="1">
      <alignment horizontal="left" wrapText="1"/>
    </xf>
    <xf numFmtId="0" fontId="39" fillId="0" borderId="32" xfId="0" applyFont="1" applyBorder="1" applyAlignment="1">
      <alignment horizontal="left"/>
    </xf>
    <xf numFmtId="164" fontId="39" fillId="34" borderId="17" xfId="35" applyNumberFormat="1" applyFont="1" applyFill="1" applyBorder="1" applyAlignment="1" applyProtection="1">
      <alignment horizontal="right" wrapText="1"/>
    </xf>
    <xf numFmtId="0" fontId="46" fillId="35" borderId="9" xfId="0" applyFont="1" applyFill="1" applyBorder="1" applyAlignment="1">
      <alignment horizontal="center" wrapText="1"/>
    </xf>
    <xf numFmtId="165" fontId="46" fillId="35" borderId="11" xfId="28" applyNumberFormat="1" applyFont="1" applyFill="1" applyBorder="1" applyAlignment="1" applyProtection="1">
      <alignment horizontal="right" wrapText="1"/>
    </xf>
    <xf numFmtId="165" fontId="46" fillId="35" borderId="7" xfId="28" applyNumberFormat="1" applyFont="1" applyFill="1" applyBorder="1" applyAlignment="1" applyProtection="1">
      <alignment horizontal="right" wrapText="1"/>
    </xf>
    <xf numFmtId="164" fontId="39" fillId="35" borderId="18" xfId="35" applyNumberFormat="1" applyFont="1" applyFill="1" applyBorder="1" applyAlignment="1" applyProtection="1">
      <alignment horizontal="right" wrapText="1"/>
    </xf>
    <xf numFmtId="0" fontId="31" fillId="34" borderId="8" xfId="0" applyFont="1" applyFill="1" applyBorder="1" applyAlignment="1">
      <alignment horizontal="center" wrapText="1"/>
    </xf>
    <xf numFmtId="165" fontId="31" fillId="34" borderId="10" xfId="28" applyNumberFormat="1" applyFont="1" applyFill="1" applyBorder="1" applyAlignment="1" applyProtection="1">
      <alignment horizontal="right" wrapText="1"/>
    </xf>
    <xf numFmtId="165" fontId="31" fillId="34" borderId="4" xfId="28" applyNumberFormat="1" applyFont="1" applyFill="1" applyBorder="1" applyAlignment="1" applyProtection="1">
      <alignment horizontal="right" wrapText="1"/>
    </xf>
    <xf numFmtId="164" fontId="2" fillId="34" borderId="17" xfId="35" applyNumberFormat="1" applyFont="1" applyFill="1" applyBorder="1" applyAlignment="1" applyProtection="1">
      <alignment horizontal="right" wrapText="1"/>
    </xf>
    <xf numFmtId="0" fontId="31" fillId="35" borderId="9" xfId="0" applyFont="1" applyFill="1" applyBorder="1" applyAlignment="1">
      <alignment horizontal="center" wrapText="1"/>
    </xf>
    <xf numFmtId="165" fontId="31" fillId="35" borderId="11" xfId="28" applyNumberFormat="1" applyFont="1" applyFill="1" applyBorder="1" applyAlignment="1" applyProtection="1">
      <alignment horizontal="right" wrapText="1"/>
    </xf>
    <xf numFmtId="165" fontId="31" fillId="35" borderId="7" xfId="28" applyNumberFormat="1" applyFont="1" applyFill="1" applyBorder="1" applyAlignment="1" applyProtection="1">
      <alignment horizontal="right" wrapText="1"/>
    </xf>
    <xf numFmtId="164" fontId="2" fillId="35" borderId="18" xfId="35" applyNumberFormat="1" applyFont="1" applyFill="1" applyBorder="1" applyAlignment="1" applyProtection="1">
      <alignment horizontal="right" wrapText="1"/>
    </xf>
    <xf numFmtId="167" fontId="0" fillId="0" borderId="0" xfId="0" applyNumberFormat="1"/>
    <xf numFmtId="168" fontId="0" fillId="0" borderId="0" xfId="0" applyNumberFormat="1"/>
    <xf numFmtId="164" fontId="31" fillId="0" borderId="0" xfId="0" applyNumberFormat="1" applyFont="1" applyProtection="1">
      <protection locked="0"/>
    </xf>
    <xf numFmtId="0" fontId="46" fillId="0" borderId="16" xfId="0" applyFont="1" applyBorder="1" applyAlignment="1">
      <alignment horizontal="left" wrapText="1"/>
    </xf>
    <xf numFmtId="44" fontId="31" fillId="0" borderId="0" xfId="35" applyFont="1" applyProtection="1">
      <protection locked="0"/>
    </xf>
    <xf numFmtId="0" fontId="2" fillId="38" borderId="23" xfId="0" applyFont="1" applyFill="1" applyBorder="1" applyAlignment="1">
      <alignment horizontal="left"/>
    </xf>
    <xf numFmtId="0" fontId="31" fillId="0" borderId="0" xfId="0" applyFont="1" applyAlignment="1">
      <alignment horizontal="left" wrapText="1"/>
    </xf>
    <xf numFmtId="0" fontId="27" fillId="0" borderId="19" xfId="0" applyFont="1" applyBorder="1" applyAlignment="1">
      <alignment horizontal="center" wrapText="1"/>
    </xf>
    <xf numFmtId="0" fontId="27" fillId="0" borderId="6" xfId="0" applyFont="1" applyBorder="1" applyAlignment="1">
      <alignment horizontal="center" wrapText="1"/>
    </xf>
    <xf numFmtId="0" fontId="37" fillId="0" borderId="0" xfId="65" applyFont="1"/>
    <xf numFmtId="0" fontId="38" fillId="0" borderId="0" xfId="65" applyFont="1" applyAlignment="1">
      <alignment horizontal="left" vertical="center" wrapText="1"/>
    </xf>
    <xf numFmtId="0" fontId="38" fillId="0" borderId="0" xfId="65" applyFont="1"/>
    <xf numFmtId="0" fontId="37" fillId="0" borderId="44" xfId="65" applyFont="1" applyBorder="1" applyAlignment="1">
      <alignment horizontal="center" vertical="top" wrapText="1"/>
    </xf>
    <xf numFmtId="0" fontId="37" fillId="0" borderId="0" xfId="65" applyFont="1" applyAlignment="1">
      <alignment vertical="center" wrapText="1"/>
    </xf>
    <xf numFmtId="0" fontId="37" fillId="0" borderId="0" xfId="65" applyFont="1" applyAlignment="1">
      <alignment vertical="center"/>
    </xf>
    <xf numFmtId="0" fontId="37" fillId="0" borderId="0" xfId="65" applyFont="1" applyAlignment="1">
      <alignment horizontal="center" vertical="top" wrapText="1"/>
    </xf>
    <xf numFmtId="0" fontId="38" fillId="0" borderId="0" xfId="65" applyFont="1" applyAlignment="1">
      <alignment horizontal="left" vertical="center"/>
    </xf>
    <xf numFmtId="0" fontId="37" fillId="0" borderId="0" xfId="65" applyFont="1" applyAlignment="1">
      <alignment horizontal="left" wrapText="1"/>
    </xf>
    <xf numFmtId="0" fontId="37" fillId="0" borderId="0" xfId="65" applyFont="1" applyAlignment="1">
      <alignment wrapText="1"/>
    </xf>
    <xf numFmtId="0" fontId="38" fillId="0" borderId="0" xfId="65" applyFont="1" applyAlignment="1">
      <alignment vertical="center" wrapText="1"/>
    </xf>
    <xf numFmtId="0" fontId="46" fillId="0" borderId="45" xfId="0" applyFont="1" applyBorder="1" applyAlignment="1">
      <alignment wrapText="1"/>
    </xf>
    <xf numFmtId="0" fontId="46" fillId="0" borderId="42" xfId="0" applyFont="1" applyBorder="1" applyAlignment="1">
      <alignment wrapText="1"/>
    </xf>
    <xf numFmtId="0" fontId="46" fillId="0" borderId="16" xfId="0" applyFont="1" applyBorder="1" applyAlignment="1">
      <alignment wrapText="1"/>
    </xf>
    <xf numFmtId="0" fontId="27" fillId="40" borderId="1" xfId="0" applyFont="1" applyFill="1" applyBorder="1"/>
    <xf numFmtId="0" fontId="31" fillId="40" borderId="2" xfId="0" applyFont="1" applyFill="1" applyBorder="1" applyAlignment="1">
      <alignment horizontal="left"/>
    </xf>
    <xf numFmtId="0" fontId="26" fillId="0" borderId="0" xfId="0" applyFont="1"/>
    <xf numFmtId="0" fontId="48" fillId="0" borderId="0" xfId="0" applyFont="1"/>
    <xf numFmtId="0" fontId="2" fillId="38" borderId="55" xfId="0" applyFont="1" applyFill="1" applyBorder="1"/>
    <xf numFmtId="0" fontId="2" fillId="38" borderId="55" xfId="0" applyFont="1" applyFill="1" applyBorder="1" applyAlignment="1">
      <alignment wrapText="1"/>
    </xf>
    <xf numFmtId="0" fontId="2" fillId="38" borderId="55" xfId="0" applyFont="1" applyFill="1" applyBorder="1" applyAlignment="1">
      <alignment horizontal="center"/>
    </xf>
    <xf numFmtId="0" fontId="38" fillId="0" borderId="0" xfId="65" applyFont="1" applyAlignment="1">
      <alignment vertical="center"/>
    </xf>
    <xf numFmtId="0" fontId="37" fillId="0" borderId="0" xfId="65" applyFont="1" applyAlignment="1">
      <alignment horizontal="left" vertical="center"/>
    </xf>
    <xf numFmtId="0" fontId="50" fillId="41" borderId="0" xfId="0" applyFont="1" applyFill="1" applyAlignment="1">
      <alignment horizontal="right"/>
    </xf>
    <xf numFmtId="0" fontId="51" fillId="0" borderId="0" xfId="0" applyFont="1"/>
    <xf numFmtId="0" fontId="3" fillId="42" borderId="0" xfId="0" applyFont="1" applyFill="1" applyAlignment="1">
      <alignment horizontal="left"/>
    </xf>
    <xf numFmtId="165" fontId="0" fillId="0" borderId="0" xfId="28" applyNumberFormat="1" applyFont="1"/>
    <xf numFmtId="165" fontId="0" fillId="0" borderId="62" xfId="28" applyNumberFormat="1" applyFont="1" applyBorder="1"/>
    <xf numFmtId="0" fontId="38" fillId="0" borderId="0" xfId="65" applyFont="1" applyAlignment="1">
      <alignment wrapText="1"/>
    </xf>
    <xf numFmtId="0" fontId="25" fillId="35" borderId="43" xfId="0" applyFont="1" applyFill="1" applyBorder="1" applyAlignment="1">
      <alignment horizontal="center" wrapText="1"/>
    </xf>
    <xf numFmtId="165" fontId="25" fillId="35" borderId="43" xfId="28" applyNumberFormat="1" applyFont="1" applyFill="1" applyBorder="1" applyAlignment="1">
      <alignment horizontal="center" wrapText="1"/>
    </xf>
    <xf numFmtId="0" fontId="25" fillId="43" borderId="43" xfId="0" applyFont="1" applyFill="1" applyBorder="1" applyAlignment="1">
      <alignment horizontal="center" wrapText="1"/>
    </xf>
    <xf numFmtId="165" fontId="25" fillId="43" borderId="43" xfId="28" applyNumberFormat="1" applyFont="1" applyFill="1" applyBorder="1" applyAlignment="1">
      <alignment horizontal="center" wrapText="1"/>
    </xf>
    <xf numFmtId="0" fontId="49" fillId="0" borderId="0" xfId="83" applyNumberFormat="1" applyFont="1" applyFill="1" applyBorder="1" applyAlignment="1"/>
    <xf numFmtId="167" fontId="49" fillId="0" borderId="0" xfId="83" applyNumberFormat="1" applyFont="1" applyFill="1" applyBorder="1" applyAlignment="1"/>
    <xf numFmtId="168" fontId="49" fillId="0" borderId="0" xfId="83" applyNumberFormat="1" applyFont="1" applyFill="1" applyBorder="1" applyAlignment="1"/>
    <xf numFmtId="165" fontId="0" fillId="0" borderId="0" xfId="0" applyNumberFormat="1" applyProtection="1">
      <protection locked="0"/>
    </xf>
    <xf numFmtId="42" fontId="0" fillId="0" borderId="0" xfId="0" applyNumberFormat="1"/>
    <xf numFmtId="164" fontId="0" fillId="0" borderId="0" xfId="0" applyNumberFormat="1"/>
    <xf numFmtId="42" fontId="0" fillId="0" borderId="0" xfId="0" applyNumberFormat="1" applyProtection="1">
      <protection locked="0"/>
    </xf>
    <xf numFmtId="165" fontId="31" fillId="36" borderId="4" xfId="28" applyNumberFormat="1" applyFont="1" applyFill="1" applyBorder="1" applyAlignment="1" applyProtection="1">
      <alignment horizontal="right" wrapText="1"/>
    </xf>
    <xf numFmtId="165" fontId="31" fillId="36" borderId="23" xfId="28" applyNumberFormat="1" applyFont="1" applyFill="1" applyBorder="1" applyAlignment="1" applyProtection="1">
      <alignment horizontal="right" wrapText="1"/>
    </xf>
    <xf numFmtId="43" fontId="0" fillId="0" borderId="0" xfId="0" applyNumberFormat="1" applyProtection="1">
      <protection locked="0"/>
    </xf>
    <xf numFmtId="44" fontId="41" fillId="36" borderId="13" xfId="35" applyFont="1" applyFill="1" applyBorder="1" applyProtection="1"/>
    <xf numFmtId="3" fontId="0" fillId="0" borderId="0" xfId="0" applyNumberFormat="1"/>
    <xf numFmtId="0" fontId="38" fillId="0" borderId="0" xfId="65" applyFont="1" applyAlignment="1">
      <alignment horizontal="center" vertical="center"/>
    </xf>
    <xf numFmtId="0" fontId="2" fillId="38" borderId="55" xfId="0" applyFont="1" applyFill="1" applyBorder="1" applyAlignment="1">
      <alignment horizontal="left"/>
    </xf>
    <xf numFmtId="0" fontId="27" fillId="0" borderId="19" xfId="0" applyFont="1" applyBorder="1" applyAlignment="1">
      <alignment horizontal="left" wrapText="1"/>
    </xf>
    <xf numFmtId="0" fontId="27" fillId="0" borderId="6" xfId="0" applyFont="1" applyBorder="1" applyAlignment="1">
      <alignment horizontal="left" wrapText="1"/>
    </xf>
    <xf numFmtId="0" fontId="27" fillId="33" borderId="28" xfId="0" applyFont="1" applyFill="1" applyBorder="1" applyAlignment="1" applyProtection="1">
      <alignment horizontal="left"/>
      <protection locked="0"/>
    </xf>
    <xf numFmtId="0" fontId="27" fillId="33" borderId="6" xfId="0" applyFont="1" applyFill="1" applyBorder="1" applyAlignment="1" applyProtection="1">
      <alignment horizontal="left"/>
      <protection locked="0"/>
    </xf>
    <xf numFmtId="0" fontId="27" fillId="0" borderId="45" xfId="0" applyFont="1" applyBorder="1" applyAlignment="1">
      <alignment horizontal="left" wrapText="1"/>
    </xf>
    <xf numFmtId="0" fontId="27" fillId="0" borderId="46" xfId="0" applyFont="1" applyBorder="1" applyAlignment="1">
      <alignment horizontal="left" wrapText="1"/>
    </xf>
    <xf numFmtId="0" fontId="27" fillId="0" borderId="30" xfId="0" applyFont="1" applyBorder="1" applyAlignment="1">
      <alignment horizontal="left" wrapText="1"/>
    </xf>
    <xf numFmtId="0" fontId="27" fillId="0" borderId="31" xfId="0" applyFont="1" applyBorder="1" applyAlignment="1">
      <alignment horizontal="left" wrapText="1"/>
    </xf>
    <xf numFmtId="0" fontId="27" fillId="36" borderId="16" xfId="0" applyFont="1" applyFill="1" applyBorder="1" applyAlignment="1">
      <alignment horizontal="left" wrapText="1"/>
    </xf>
    <xf numFmtId="0" fontId="27" fillId="36" borderId="15" xfId="0" applyFont="1" applyFill="1" applyBorder="1" applyAlignment="1">
      <alignment horizontal="left" wrapText="1"/>
    </xf>
    <xf numFmtId="0" fontId="3" fillId="0" borderId="32" xfId="0" applyFont="1" applyBorder="1" applyAlignment="1">
      <alignment horizontal="left"/>
    </xf>
    <xf numFmtId="0" fontId="3" fillId="0" borderId="24" xfId="0" applyFont="1" applyBorder="1" applyAlignment="1">
      <alignment horizontal="left"/>
    </xf>
    <xf numFmtId="0" fontId="27" fillId="0" borderId="16" xfId="0" applyFont="1" applyBorder="1" applyAlignment="1">
      <alignment horizontal="left" wrapText="1"/>
    </xf>
    <xf numFmtId="0" fontId="27" fillId="0" borderId="15" xfId="0" applyFont="1" applyBorder="1" applyAlignment="1">
      <alignment horizontal="left" wrapText="1"/>
    </xf>
    <xf numFmtId="0" fontId="3" fillId="33" borderId="50" xfId="0" applyFont="1" applyFill="1" applyBorder="1" applyAlignment="1">
      <alignment horizontal="left" wrapText="1"/>
    </xf>
    <xf numFmtId="0" fontId="3" fillId="33" borderId="53" xfId="0" applyFont="1" applyFill="1" applyBorder="1" applyAlignment="1">
      <alignment horizontal="left" wrapText="1"/>
    </xf>
    <xf numFmtId="0" fontId="3" fillId="33" borderId="28" xfId="0" applyFont="1" applyFill="1" applyBorder="1" applyAlignment="1">
      <alignment horizontal="left" wrapText="1"/>
    </xf>
    <xf numFmtId="0" fontId="3" fillId="33" borderId="49" xfId="0" applyFont="1" applyFill="1" applyBorder="1" applyAlignment="1">
      <alignment horizontal="left" wrapText="1"/>
    </xf>
    <xf numFmtId="0" fontId="27" fillId="33" borderId="16" xfId="0" applyFont="1" applyFill="1" applyBorder="1" applyAlignment="1" applyProtection="1">
      <alignment horizontal="left" wrapText="1"/>
      <protection locked="0"/>
    </xf>
    <xf numFmtId="0" fontId="27" fillId="33" borderId="15" xfId="0" applyFont="1" applyFill="1" applyBorder="1" applyAlignment="1" applyProtection="1">
      <alignment horizontal="left" wrapText="1"/>
      <protection locked="0"/>
    </xf>
    <xf numFmtId="0" fontId="2" fillId="38" borderId="23" xfId="0" applyFont="1" applyFill="1" applyBorder="1" applyAlignment="1">
      <alignment horizontal="left"/>
    </xf>
    <xf numFmtId="0" fontId="2" fillId="38" borderId="4" xfId="0" applyFont="1" applyFill="1" applyBorder="1" applyAlignment="1">
      <alignment horizontal="left"/>
    </xf>
    <xf numFmtId="0" fontId="2" fillId="38" borderId="21" xfId="0" applyFont="1" applyFill="1" applyBorder="1" applyAlignment="1">
      <alignment horizontal="left"/>
    </xf>
    <xf numFmtId="0" fontId="31" fillId="0" borderId="0" xfId="0" applyFont="1" applyAlignment="1">
      <alignment horizontal="left" wrapText="1"/>
    </xf>
    <xf numFmtId="0" fontId="2" fillId="38" borderId="5" xfId="0" applyFont="1" applyFill="1" applyBorder="1" applyAlignment="1">
      <alignment horizontal="left" wrapText="1"/>
    </xf>
    <xf numFmtId="0" fontId="2" fillId="38" borderId="15" xfId="0" applyFont="1" applyFill="1" applyBorder="1" applyAlignment="1">
      <alignment horizontal="left" wrapText="1"/>
    </xf>
    <xf numFmtId="0" fontId="2" fillId="38" borderId="27" xfId="0" applyFont="1" applyFill="1" applyBorder="1" applyAlignment="1">
      <alignment horizontal="left" wrapText="1"/>
    </xf>
    <xf numFmtId="0" fontId="2" fillId="38" borderId="29" xfId="0" applyFont="1" applyFill="1" applyBorder="1" applyAlignment="1">
      <alignment horizontal="left" wrapText="1"/>
    </xf>
    <xf numFmtId="0" fontId="2" fillId="38" borderId="52" xfId="0" applyFont="1" applyFill="1" applyBorder="1" applyAlignment="1">
      <alignment horizontal="left" wrapText="1"/>
    </xf>
    <xf numFmtId="0" fontId="2" fillId="38" borderId="51" xfId="0" applyFont="1" applyFill="1" applyBorder="1" applyAlignment="1">
      <alignment horizontal="left" wrapText="1"/>
    </xf>
    <xf numFmtId="0" fontId="27" fillId="0" borderId="19" xfId="0" applyFont="1" applyBorder="1" applyAlignment="1">
      <alignment horizontal="center" wrapText="1"/>
    </xf>
    <xf numFmtId="0" fontId="27" fillId="0" borderId="6" xfId="0" applyFont="1" applyBorder="1" applyAlignment="1">
      <alignment horizontal="center" wrapText="1"/>
    </xf>
  </cellXfs>
  <cellStyles count="8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2 2" xfId="30" xr:uid="{00000000-0005-0000-0000-00001D000000}"/>
    <cellStyle name="Comma 3" xfId="31" xr:uid="{00000000-0005-0000-0000-00001E000000}"/>
    <cellStyle name="Comma 3 2" xfId="32" xr:uid="{00000000-0005-0000-0000-00001F000000}"/>
    <cellStyle name="Comma 3 3" xfId="67" xr:uid="{00000000-0005-0000-0000-000020000000}"/>
    <cellStyle name="Comma 4" xfId="68" xr:uid="{00000000-0005-0000-0000-000021000000}"/>
    <cellStyle name="Comma 5" xfId="66" xr:uid="{00000000-0005-0000-0000-000022000000}"/>
    <cellStyle name="Comma0" xfId="33" xr:uid="{00000000-0005-0000-0000-000023000000}"/>
    <cellStyle name="Comma1 - Style1" xfId="34" xr:uid="{00000000-0005-0000-0000-000024000000}"/>
    <cellStyle name="Currency" xfId="35" builtinId="4"/>
    <cellStyle name="Currency 2" xfId="36" xr:uid="{00000000-0005-0000-0000-000026000000}"/>
    <cellStyle name="Currency 2 2" xfId="69" xr:uid="{00000000-0005-0000-0000-000027000000}"/>
    <cellStyle name="Currency 3" xfId="37" xr:uid="{00000000-0005-0000-0000-000028000000}"/>
    <cellStyle name="Currency0" xfId="38" xr:uid="{00000000-0005-0000-0000-000029000000}"/>
    <cellStyle name="Date" xfId="39" xr:uid="{00000000-0005-0000-0000-00002A000000}"/>
    <cellStyle name="Explanatory Text" xfId="40" builtinId="53" customBuiltin="1"/>
    <cellStyle name="Fixed" xfId="41" xr:uid="{00000000-0005-0000-0000-00002C000000}"/>
    <cellStyle name="Good" xfId="42" builtinId="26" customBuiltin="1"/>
    <cellStyle name="Heading 1" xfId="43" builtinId="16" customBuiltin="1"/>
    <cellStyle name="Heading 2" xfId="44" builtinId="17" customBuiltin="1"/>
    <cellStyle name="Heading 3" xfId="45" builtinId="18" customBuiltin="1"/>
    <cellStyle name="Heading 4" xfId="46" builtinId="19" customBuiltin="1"/>
    <cellStyle name="Input" xfId="47" builtinId="20" customBuiltin="1"/>
    <cellStyle name="Linked Cell" xfId="48" builtinId="24" customBuiltin="1"/>
    <cellStyle name="Neutral" xfId="49" builtinId="28" customBuiltin="1"/>
    <cellStyle name="Normal" xfId="0" builtinId="0"/>
    <cellStyle name="Normal (bold, center, center, A10)" xfId="50" xr:uid="{00000000-0005-0000-0000-000036000000}"/>
    <cellStyle name="Normal (bold, underlined, center, center, A10)" xfId="51" xr:uid="{00000000-0005-0000-0000-000037000000}"/>
    <cellStyle name="Normal (borders)" xfId="52" xr:uid="{00000000-0005-0000-0000-000038000000}"/>
    <cellStyle name="Normal 10" xfId="76" xr:uid="{00000000-0005-0000-0000-000039000000}"/>
    <cellStyle name="Normal 11" xfId="77" xr:uid="{00000000-0005-0000-0000-00003A000000}"/>
    <cellStyle name="Normal 12" xfId="78" xr:uid="{00000000-0005-0000-0000-000051000000}"/>
    <cellStyle name="Normal 13" xfId="79" xr:uid="{00000000-0005-0000-0000-000052000000}"/>
    <cellStyle name="Normal 14" xfId="81" xr:uid="{4A7A3C85-537E-43F2-B168-6ADE240D68B9}"/>
    <cellStyle name="Normal 15" xfId="80" xr:uid="{DD5D1B04-65C0-4B77-A422-60781466224B}"/>
    <cellStyle name="Normal 16" xfId="82" xr:uid="{C0472385-B5E9-4796-8BAF-61BFC7E51412}"/>
    <cellStyle name="Normal 17" xfId="83" xr:uid="{2CA31B2C-5618-4518-AF0A-B6F305372A63}"/>
    <cellStyle name="Normal 2" xfId="53" xr:uid="{00000000-0005-0000-0000-00003B000000}"/>
    <cellStyle name="Normal 2 2" xfId="54" xr:uid="{00000000-0005-0000-0000-00003C000000}"/>
    <cellStyle name="Normal 2 3" xfId="55" xr:uid="{00000000-0005-0000-0000-00003D000000}"/>
    <cellStyle name="Normal 3" xfId="56" xr:uid="{00000000-0005-0000-0000-00003E000000}"/>
    <cellStyle name="Normal 3 2" xfId="57" xr:uid="{00000000-0005-0000-0000-00003F000000}"/>
    <cellStyle name="Normal 4" xfId="71" xr:uid="{00000000-0005-0000-0000-000040000000}"/>
    <cellStyle name="Normal 5" xfId="65" xr:uid="{00000000-0005-0000-0000-000041000000}"/>
    <cellStyle name="Normal 6" xfId="70" xr:uid="{00000000-0005-0000-0000-000042000000}"/>
    <cellStyle name="Normal 7" xfId="73" xr:uid="{00000000-0005-0000-0000-000043000000}"/>
    <cellStyle name="Normal 8" xfId="74" xr:uid="{00000000-0005-0000-0000-000044000000}"/>
    <cellStyle name="Normal 9" xfId="75" xr:uid="{00000000-0005-0000-0000-000045000000}"/>
    <cellStyle name="Note" xfId="58" builtinId="10" customBuiltin="1"/>
    <cellStyle name="Output" xfId="59" builtinId="21" customBuiltin="1"/>
    <cellStyle name="Percent 2" xfId="72" xr:uid="{00000000-0005-0000-0000-000049000000}"/>
    <cellStyle name="Reset " xfId="60" xr:uid="{00000000-0005-0000-0000-00004A000000}"/>
    <cellStyle name="Reset  - Style2" xfId="61" xr:uid="{00000000-0005-0000-0000-00004B000000}"/>
    <cellStyle name="Title" xfId="62" builtinId="15" customBuiltin="1"/>
    <cellStyle name="Total" xfId="63" builtinId="25" customBuiltin="1"/>
    <cellStyle name="Warning Text" xfId="64" builtinId="11" customBuiltin="1"/>
  </cellStyles>
  <dxfs count="13">
    <dxf>
      <alignment horizontal="center"/>
    </dxf>
    <dxf>
      <alignment horizontal="center"/>
    </dxf>
    <dxf>
      <alignment wrapText="1"/>
    </dxf>
    <dxf>
      <numFmt numFmtId="3" formatCode="#,##0"/>
    </dxf>
    <dxf>
      <numFmt numFmtId="3" formatCode="#,##0"/>
    </dxf>
    <dxf>
      <numFmt numFmtId="3" formatCode="#,##0"/>
    </dxf>
    <dxf>
      <numFmt numFmtId="3" formatCode="#,##0"/>
    </dxf>
    <dxf>
      <alignment wrapText="1"/>
    </dxf>
    <dxf>
      <alignment wrapText="1"/>
    </dxf>
    <dxf>
      <numFmt numFmtId="168" formatCode="###,###,###,##0"/>
    </dxf>
    <dxf>
      <numFmt numFmtId="168" formatCode="###,###,###,##0"/>
    </dxf>
    <dxf>
      <numFmt numFmtId="168" formatCode="###,###,###,##0"/>
    </dxf>
    <dxf>
      <numFmt numFmtId="168"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v-my.sharepoint.com/windows/TEMP/UNIVERSITY%20WP%20COST%20ALLOC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PS\ACR%2053%20Interim%20Leg%20Comm\Transition%20Plan%20Post-Hay%20%20BCC%2012-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v-my.sharepoint.com/Documents%20and%20Settings/sgibbons/Local%20Settings/Temporary%20Internet%20Files/OLK48/Infor%20for%20Leg%204-30-01%20justificationTransition%20Plan%20Post-H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WICAP"/>
      <sheetName val="3145"/>
      <sheetName val="DCFS ADMIN"/>
      <sheetName val="TREATMENT"/>
      <sheetName val="FAMILY SUPPORT"/>
      <sheetName val="YOUTH CORR"/>
      <sheetName val="LICENSING"/>
      <sheetName val="SUM"/>
      <sheetName val="DISTRIBUTION"/>
      <sheetName val="UNIV SFY02"/>
      <sheetName val="UNIV SFY0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s FY04"/>
      <sheetName val="WC Costs After ACR 53"/>
      <sheetName val="Cost Summary"/>
      <sheetName val="Div-Admin Org Chart Before "/>
      <sheetName val="DCFS Org Chart"/>
      <sheetName val="Div-Admin Org Chart After"/>
      <sheetName val="Org Chart 7-00"/>
      <sheetName val="Org Chart 10-01"/>
      <sheetName val="Org Chart 7-02"/>
      <sheetName val="Org Chart7-03"/>
      <sheetName val="Staff and Transition Times"/>
      <sheetName val="Caseload Staffing Data &amp; $ FY04"/>
      <sheetName val="Costs FY02"/>
      <sheetName val="Costs FY03"/>
      <sheetName val="Hay Sal Sched--FY01"/>
      <sheetName val="$DCFS w WC salaries FY02"/>
      <sheetName val="$DCFS w WC salaries FY03"/>
      <sheetName val="End of Printed Data"/>
      <sheetName val="Caseload Staffing Data &amp; $ FY02"/>
      <sheetName val="Hay Sal Sched--FY02"/>
      <sheetName val="Hay Sal Sched--FY03"/>
      <sheetName val="System Costs FY02"/>
      <sheetName val="System Costs FY04"/>
      <sheetName val="System Costs FY03"/>
      <sheetName val="System Costs FY01"/>
      <sheetName val="System Costs FY00"/>
      <sheetName val="FY00 CPS Costs"/>
      <sheetName val="Hay Sal Sched--FY04"/>
      <sheetName val="$DCFS w WC salaries 00"/>
      <sheetName val="Growth Info"/>
      <sheetName val="Petitions and Children"/>
      <sheetName val="Dept Org Chart 01"/>
      <sheetName val="Table of Contents"/>
      <sheetName val="Names In Workbook"/>
      <sheetName val="Eligibility Worker Costs"/>
      <sheetName val="Caseload Staffing Data &amp; $ FY0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sheetData sheetId="11"/>
      <sheetData sheetId="12" refreshError="1"/>
      <sheetData sheetId="13"/>
      <sheetData sheetId="14" refreshError="1"/>
      <sheetData sheetId="15" refreshError="1"/>
      <sheetData sheetId="16"/>
      <sheetData sheetId="17" refreshError="1"/>
      <sheetData sheetId="18" refreshError="1"/>
      <sheetData sheetId="19" refreshError="1"/>
      <sheetData sheetId="20" refreshError="1"/>
      <sheetData sheetId="21">
        <row r="11">
          <cell r="B11">
            <v>1</v>
          </cell>
        </row>
      </sheetData>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v-Admin Org Chart Before "/>
      <sheetName val="DCFS Org Chart"/>
      <sheetName val="Div-Admin Org Chart After"/>
      <sheetName val="Org Chart 7-00"/>
      <sheetName val="Org Chart 10-01"/>
      <sheetName val="Org Chart 7-02"/>
      <sheetName val="Org Chart7-03"/>
      <sheetName val="Staff and Transition Times"/>
      <sheetName val="Caseload Staffing Data &amp; $ FY04"/>
      <sheetName val="Calculations"/>
      <sheetName val="Cost Summary"/>
      <sheetName val="Costs FY02"/>
      <sheetName val="Costs FY03"/>
      <sheetName val="Costs FY04"/>
      <sheetName val="Hay Sal Sched--FY01"/>
      <sheetName val="Hay Sal Sched--FY02"/>
      <sheetName val="Hay Sal Sched--FY03"/>
      <sheetName val="$DCFS w WC salaries FY02"/>
      <sheetName val="$DCFS w WC salaries FY03"/>
      <sheetName val="End of Printed Data"/>
      <sheetName val="Caseload Staffing Data &amp; $ FY02"/>
      <sheetName val="System Costs FY02"/>
      <sheetName val="System Costs FY04"/>
      <sheetName val="System Costs FY03"/>
      <sheetName val="System Costs FY01"/>
      <sheetName val="System Costs FY00"/>
      <sheetName val="FY00 CPS Costs"/>
      <sheetName val="Hay Sal Sched--FY04"/>
      <sheetName val="$DCFS w WC salaries 00"/>
      <sheetName val="Growth Info"/>
      <sheetName val="Petitions and Children"/>
      <sheetName val="Dept Org Chart 01"/>
      <sheetName val="Table of Contents"/>
      <sheetName val="Names In Workbook"/>
      <sheetName val="Eligibility Worker Costs"/>
      <sheetName val="Caseload Staffing Data &amp; $ FY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2">
          <cell r="B12">
            <v>1</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kki L. Hovden" refreshedDate="45399.442717361111" createdVersion="7" refreshedVersion="8" minRefreshableVersion="3" recordCount="4" xr:uid="{9034AF33-0C0D-45BF-91FE-2F2D76F4A16A}">
  <cacheSource type="worksheet">
    <worksheetSource ref="A9:AB15" sheet="NEBS 130"/>
  </cacheSource>
  <cacheFields count="28">
    <cacheField name="BA #" numFmtId="0">
      <sharedItems containsBlank="1"/>
    </cacheField>
    <cacheField name="Dec Unit" numFmtId="0">
      <sharedItems containsBlank="1" count="6">
        <s v="E300 GOVERNMENT SUPPORT SERVICES"/>
        <m/>
        <s v="E225 EFFICIENCY &amp; INNOVATION" u="1"/>
        <s v="E227 EFFICIENCY &amp; INNOVATION" u="1"/>
        <s v="E226 EFFICIENCY &amp; INNOVATION" u="1"/>
        <s v="E228 EFFICIENCY &amp; INNOVATION" u="1"/>
      </sharedItems>
    </cacheField>
    <cacheField name="Pos Group" numFmtId="0">
      <sharedItems containsBlank="1"/>
    </cacheField>
    <cacheField name="Pos Type" numFmtId="0">
      <sharedItems containsBlank="1"/>
    </cacheField>
    <cacheField name="Pos Desc" numFmtId="0">
      <sharedItems containsBlank="1" count="13">
        <s v="GRANTS &amp; PROJECTS ANALYST 3"/>
        <s v="MANAGEMENT ANALYST 1"/>
        <m/>
        <s v="IT PROFESSIONAL 3" u="1"/>
        <s v="IT TECHNICIAN 5" u="1"/>
        <s v="IT TECHNICIAN 4" u="1"/>
        <s v="IT PROFESSIONAL 2" u="1"/>
        <s v="ADMIN SERVICES OFFICER 2" u="1"/>
        <s v="PERSONNEL OFFICER 2" u="1"/>
        <s v="PERSONNEL ANALYST 1" u="1"/>
        <s v="TRAINING OFFICER" u="1"/>
        <s v="ADMIN ASSISTANT 3" u="1"/>
        <s v="PROGRAM OFFICER 1" u="1"/>
      </sharedItems>
    </cacheField>
    <cacheField name="PCN#" numFmtId="0">
      <sharedItems containsBlank="1"/>
    </cacheField>
    <cacheField name="Class Code" numFmtId="0">
      <sharedItems containsBlank="1"/>
    </cacheField>
    <cacheField name="Gd-Step" numFmtId="0">
      <sharedItems containsBlank="1"/>
    </cacheField>
    <cacheField name="Gd-Add" numFmtId="0">
      <sharedItems containsBlank="1"/>
    </cacheField>
    <cacheField name="Anv Mo" numFmtId="0">
      <sharedItems containsBlank="1"/>
    </cacheField>
    <cacheField name="St Date" numFmtId="0">
      <sharedItems containsBlank="1"/>
    </cacheField>
    <cacheField name="End Date" numFmtId="0">
      <sharedItems containsBlank="1"/>
    </cacheField>
    <cacheField name="Ret Cd" numFmtId="0">
      <sharedItems containsBlank="1"/>
    </cacheField>
    <cacheField name="FTE Actual" numFmtId="0">
      <sharedItems containsString="0" containsBlank="1" containsNumber="1" containsInteger="1" minValue="0" maxValue="0"/>
    </cacheField>
    <cacheField name="FTE WP" numFmtId="0">
      <sharedItems containsString="0" containsBlank="1" containsNumber="1" containsInteger="1" minValue="0" maxValue="0"/>
    </cacheField>
    <cacheField name="FTE YR1" numFmtId="0">
      <sharedItems containsString="0" containsBlank="1" containsNumber="1" containsInteger="1" minValue="1" maxValue="1"/>
    </cacheField>
    <cacheField name="FTE YR2" numFmtId="0">
      <sharedItems containsString="0" containsBlank="1" containsNumber="1" containsInteger="1" minValue="1" maxValue="1"/>
    </cacheField>
    <cacheField name="Merit Inc" numFmtId="0">
      <sharedItems containsBlank="1"/>
    </cacheField>
    <cacheField name="Salary YR1" numFmtId="0">
      <sharedItems containsString="0" containsBlank="1" containsNumber="1" containsInteger="1" minValue="57236" maxValue="68359"/>
    </cacheField>
    <cacheField name="Benefits YR1" numFmtId="0">
      <sharedItems containsString="0" containsBlank="1" containsNumber="1" containsInteger="1" minValue="21835" maxValue="24440"/>
    </cacheField>
    <cacheField name="Salary YR2" numFmtId="0">
      <sharedItems containsString="0" containsBlank="1" containsNumber="1" containsInteger="1" minValue="79183" maxValue="94585"/>
    </cacheField>
    <cacheField name="Benefits YR2" numFmtId="0">
      <sharedItems containsString="0" containsBlank="1" containsNumber="1" containsInteger="1" minValue="28233" maxValue="31641"/>
    </cacheField>
    <cacheField name="Position type" numFmtId="0">
      <sharedItems containsBlank="1" count="3">
        <s v="Middle Management"/>
        <s v="Clerical Support"/>
        <m/>
      </sharedItems>
    </cacheField>
    <cacheField name="Equipment Type" numFmtId="0">
      <sharedItems containsBlank="1" count="2">
        <s v="Laptop"/>
        <m/>
      </sharedItems>
    </cacheField>
    <cacheField name="Travel (y/n)" numFmtId="0">
      <sharedItems containsBlank="1" count="3">
        <s v="Yes"/>
        <s v="No"/>
        <m/>
      </sharedItems>
    </cacheField>
    <cacheField name="Additional Rent (y/n)" numFmtId="0">
      <sharedItems containsBlank="1"/>
    </cacheField>
    <cacheField name="Y1 FTE Months Requested" numFmtId="0">
      <sharedItems containsString="0" containsBlank="1" containsNumber="1" containsInteger="1" minValue="9" maxValue="9"/>
    </cacheField>
    <cacheField name="Y2 FTE Months Requested" numFmtId="0">
      <sharedItems containsString="0" containsBlank="1" containsNumber="1" containsInteger="1" minValue="12" maxValue="1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s v="1340"/>
    <x v="0"/>
    <s v="GSS GOVERNMENT SUPPORT SERVICES"/>
    <s v="New"/>
    <x v="0"/>
    <s v="000101"/>
    <s v="07753"/>
    <s v="37-7"/>
    <s v="0"/>
    <s v="10"/>
    <s v="10-2025"/>
    <s v="6-2027"/>
    <s v="1"/>
    <n v="0"/>
    <n v="0"/>
    <n v="1"/>
    <n v="1"/>
    <s v="Y"/>
    <n v="68359"/>
    <n v="24440"/>
    <n v="94585"/>
    <n v="31641"/>
    <x v="0"/>
    <x v="0"/>
    <x v="0"/>
    <s v="Yes"/>
    <n v="9"/>
    <n v="12"/>
  </r>
  <r>
    <s v="1340"/>
    <x v="0"/>
    <s v="GSS GOVERNMENT SUPPORT SERVICES"/>
    <s v="New"/>
    <x v="1"/>
    <s v="000102"/>
    <s v="07637"/>
    <s v="33-7"/>
    <s v="0"/>
    <s v="10"/>
    <s v="10-2025"/>
    <s v="6-2027"/>
    <s v="1"/>
    <n v="0"/>
    <n v="0"/>
    <n v="1"/>
    <n v="1"/>
    <s v="Y"/>
    <n v="57236"/>
    <n v="21835"/>
    <n v="79183"/>
    <n v="28233"/>
    <x v="1"/>
    <x v="0"/>
    <x v="1"/>
    <s v="Yes"/>
    <n v="9"/>
    <n v="12"/>
  </r>
  <r>
    <m/>
    <x v="1"/>
    <m/>
    <m/>
    <x v="2"/>
    <m/>
    <m/>
    <m/>
    <m/>
    <m/>
    <m/>
    <m/>
    <m/>
    <m/>
    <m/>
    <m/>
    <m/>
    <m/>
    <m/>
    <m/>
    <m/>
    <m/>
    <x v="2"/>
    <x v="1"/>
    <x v="2"/>
    <m/>
    <m/>
    <m/>
  </r>
  <r>
    <m/>
    <x v="1"/>
    <m/>
    <m/>
    <x v="2"/>
    <m/>
    <m/>
    <m/>
    <m/>
    <m/>
    <m/>
    <m/>
    <m/>
    <m/>
    <m/>
    <m/>
    <m/>
    <m/>
    <m/>
    <m/>
    <m/>
    <m/>
    <x v="2"/>
    <x v="1"/>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7A663F-9EC6-42E7-BF6E-F3231302AB9D}" name="PivotTable1" cacheId="0" applyNumberFormats="0" applyBorderFormats="0" applyFontFormats="0" applyPatternFormats="0" applyAlignmentFormats="0" applyWidthHeightFormats="1" dataCaption="Values" updatedVersion="8" minRefreshableVersion="3" itemPrintTitles="1" createdVersion="6" indent="0" compact="0" compactData="0" multipleFieldFilters="0">
  <location ref="A25:L28" firstHeaderRow="0" firstDataRow="1" firstDataCol="4" rowPageCount="1" colPageCount="1"/>
  <pivotFields count="28">
    <pivotField compact="0" outline="0" showAll="0"/>
    <pivotField axis="axisPage" compact="0" outline="0" showAll="0">
      <items count="7">
        <item m="1" x="2"/>
        <item m="1" x="4"/>
        <item m="1" x="3"/>
        <item m="1" x="5"/>
        <item x="0"/>
        <item x="1"/>
        <item t="default"/>
      </items>
    </pivotField>
    <pivotField compact="0" outline="0" showAll="0"/>
    <pivotField compact="0" outline="0" showAll="0"/>
    <pivotField axis="axisRow" compact="0" outline="0" showAll="0" defaultSubtotal="0">
      <items count="13">
        <item m="1" x="3"/>
        <item m="1" x="4"/>
        <item m="1" x="5"/>
        <item m="1" x="6"/>
        <item m="1" x="8"/>
        <item m="1" x="9"/>
        <item m="1" x="10"/>
        <item m="1" x="7"/>
        <item m="1" x="11"/>
        <item m="1" x="12"/>
        <item x="0"/>
        <item x="1"/>
        <item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7" outline="0" showAll="0"/>
    <pivotField compact="0" numFmtId="167" outline="0" showAll="0"/>
    <pivotField dataField="1" compact="0" numFmtId="167" outline="0" showAll="0"/>
    <pivotField dataField="1" compact="0" numFmtId="167" outline="0" showAll="0"/>
    <pivotField compact="0" outline="0" showAll="0"/>
    <pivotField dataField="1" compact="0" outline="0" showAll="0"/>
    <pivotField dataField="1" compact="0" outline="0" showAll="0"/>
    <pivotField dataField="1" compact="0" outline="0" showAll="0"/>
    <pivotField dataField="1" compact="0" outline="0" showAll="0"/>
    <pivotField axis="axisRow" compact="0" outline="0" showAll="0" defaultSubtotal="0">
      <items count="3">
        <item x="0"/>
        <item x="2"/>
        <item x="1"/>
      </items>
    </pivotField>
    <pivotField axis="axisRow" compact="0" outline="0" showAll="0" defaultSubtotal="0">
      <items count="2">
        <item x="0"/>
        <item x="1"/>
      </items>
    </pivotField>
    <pivotField axis="axisRow" compact="0" outline="0" showAll="0">
      <items count="4">
        <item x="0"/>
        <item x="1"/>
        <item x="2"/>
        <item t="default"/>
      </items>
    </pivotField>
    <pivotField compact="0" outline="0" showAll="0"/>
    <pivotField dataField="1" compact="0" outline="0" showAll="0"/>
    <pivotField dataField="1" compact="0" outline="0" showAll="0"/>
  </pivotFields>
  <rowFields count="4">
    <field x="4"/>
    <field x="22"/>
    <field x="23"/>
    <field x="24"/>
  </rowFields>
  <rowItems count="3">
    <i>
      <x v="10"/>
      <x/>
      <x/>
      <x/>
    </i>
    <i>
      <x v="11"/>
      <x v="2"/>
      <x/>
      <x v="1"/>
    </i>
    <i t="grand">
      <x/>
    </i>
  </rowItems>
  <colFields count="1">
    <field x="-2"/>
  </colFields>
  <colItems count="8">
    <i>
      <x/>
    </i>
    <i i="1">
      <x v="1"/>
    </i>
    <i i="2">
      <x v="2"/>
    </i>
    <i i="3">
      <x v="3"/>
    </i>
    <i i="4">
      <x v="4"/>
    </i>
    <i i="5">
      <x v="5"/>
    </i>
    <i i="6">
      <x v="6"/>
    </i>
    <i i="7">
      <x v="7"/>
    </i>
  </colItems>
  <pageFields count="1">
    <pageField fld="1" item="4" hier="-1"/>
  </pageFields>
  <dataFields count="8">
    <dataField name="Sum of FTE YR1" fld="15" baseField="0" baseItem="0"/>
    <dataField name="Sum of FTE YR2" fld="16" baseField="0" baseItem="0"/>
    <dataField name="Sum of Y1 FTE Months Requested" fld="26" baseField="0" baseItem="0"/>
    <dataField name="Sum of Y2 FTE Months Requested" fld="27" baseField="0" baseItem="0"/>
    <dataField name="Sum of Salary YR1" fld="18" baseField="24" baseItem="0" numFmtId="3"/>
    <dataField name="Sum of Benefits YR1" fld="19" baseField="24" baseItem="0" numFmtId="3"/>
    <dataField name="Sum of Salary YR2" fld="20" baseField="24" baseItem="0" numFmtId="3"/>
    <dataField name="Sum of Benefits YR2" fld="21" baseField="24" baseItem="0" numFmtId="3"/>
  </dataFields>
  <formats count="9">
    <format dxfId="8">
      <pivotArea dataOnly="0" labelOnly="1" outline="0" fieldPosition="0">
        <references count="1">
          <reference field="4294967294" count="1">
            <x v="2"/>
          </reference>
        </references>
      </pivotArea>
    </format>
    <format dxfId="7">
      <pivotArea dataOnly="0" labelOnly="1" outline="0" fieldPosition="0">
        <references count="1">
          <reference field="4294967294" count="1">
            <x v="3"/>
          </reference>
        </references>
      </pivotArea>
    </format>
    <format dxfId="6">
      <pivotArea outline="0" fieldPosition="0">
        <references count="1">
          <reference field="4294967294" count="1">
            <x v="4"/>
          </reference>
        </references>
      </pivotArea>
    </format>
    <format dxfId="5">
      <pivotArea outline="0" fieldPosition="0">
        <references count="1">
          <reference field="4294967294" count="1">
            <x v="6"/>
          </reference>
        </references>
      </pivotArea>
    </format>
    <format dxfId="4">
      <pivotArea outline="0" fieldPosition="0">
        <references count="1">
          <reference field="4294967294" count="1">
            <x v="5"/>
          </reference>
        </references>
      </pivotArea>
    </format>
    <format dxfId="3">
      <pivotArea outline="0" fieldPosition="0">
        <references count="1">
          <reference field="4294967294" count="1">
            <x v="7"/>
          </reference>
        </references>
      </pivotArea>
    </format>
    <format dxfId="2">
      <pivotArea dataOnly="0" labelOnly="1" outline="0" fieldPosition="0">
        <references count="1">
          <reference field="4294967294" count="4">
            <x v="4"/>
            <x v="5"/>
            <x v="6"/>
            <x v="7"/>
          </reference>
        </references>
      </pivotArea>
    </format>
    <format dxfId="1">
      <pivotArea dataOnly="0" labelOnly="1" outline="0" fieldPosition="0">
        <references count="1">
          <reference field="4294967294" count="2">
            <x v="4"/>
            <x v="5"/>
          </reference>
        </references>
      </pivotArea>
    </format>
    <format dxfId="0">
      <pivotArea dataOnly="0" labelOnly="1" outline="0" fieldPosition="0">
        <references count="1">
          <reference field="4294967294" count="2">
            <x v="6"/>
            <x v="7"/>
          </reference>
        </references>
      </pivotArea>
    </format>
  </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7B4FBA7-8F93-456E-8A2F-A358F2AF4E4E}" name="tblActual" displayName="tblActual" ref="A10:I148" totalsRowShown="0">
  <autoFilter ref="A10:I148" xr:uid="{1A83C24A-282E-4508-A243-29B53E8BCDF4}"/>
  <tableColumns count="9">
    <tableColumn id="1" xr3:uid="{E4EABBD4-F5C1-4214-B6C4-B0FFB861B98E}" name="DU"/>
    <tableColumn id="3" xr3:uid="{42F359DB-073D-4D55-990A-07BF880C6088}" name="Catg"/>
    <tableColumn id="4" xr3:uid="{8F1AE68C-1730-42E4-AA9E-75A90CB68F37}" name="GL"/>
    <tableColumn id="5" xr3:uid="{F2D39820-16C1-4ECA-B38E-84522698923E}" name="Description"/>
    <tableColumn id="6" xr3:uid="{5818193C-BF8F-4073-AB00-1D266CDBEE30}" name="Actual" dataDxfId="12"/>
    <tableColumn id="7" xr3:uid="{CFECB035-7740-4D15-AD04-5312C808F73E}" name="Work Pgm" dataDxfId="11"/>
    <tableColumn id="8" xr3:uid="{25A2F6F7-005F-4838-8A3B-C788DFD45EF3}" name="Year 1" dataDxfId="10"/>
    <tableColumn id="9" xr3:uid="{302E9608-7C86-4C3B-9970-8BC368965EBD}" name="Year 2" dataDxfId="9"/>
    <tableColumn id="10" xr3:uid="{C5FFE223-D62A-48B5-9098-B9977A0B2E92}" name="Schedul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C55"/>
  <sheetViews>
    <sheetView topLeftCell="A42" workbookViewId="0">
      <selection activeCell="B53" sqref="B53"/>
    </sheetView>
  </sheetViews>
  <sheetFormatPr defaultColWidth="9.140625" defaultRowHeight="15" x14ac:dyDescent="0.2"/>
  <cols>
    <col min="1" max="1" width="7.7109375" style="290" customWidth="1"/>
    <col min="2" max="2" width="95.42578125" style="290" customWidth="1"/>
    <col min="3" max="3" width="38.42578125" style="290" customWidth="1"/>
    <col min="4" max="16384" width="9.140625" style="290"/>
  </cols>
  <sheetData>
    <row r="1" spans="1:2" ht="15.75" x14ac:dyDescent="0.2">
      <c r="A1" s="335" t="s">
        <v>0</v>
      </c>
      <c r="B1" s="335"/>
    </row>
    <row r="2" spans="1:2" ht="15.75" customHeight="1" x14ac:dyDescent="0.2">
      <c r="A2" s="311" t="s">
        <v>1</v>
      </c>
      <c r="B2" s="300"/>
    </row>
    <row r="3" spans="1:2" ht="15.75" x14ac:dyDescent="0.2">
      <c r="A3" s="312" t="s">
        <v>2</v>
      </c>
      <c r="B3" s="291"/>
    </row>
    <row r="4" spans="1:2" ht="15.75" x14ac:dyDescent="0.2">
      <c r="A4" s="312" t="s">
        <v>3</v>
      </c>
      <c r="B4" s="291"/>
    </row>
    <row r="5" spans="1:2" ht="15.75" x14ac:dyDescent="0.2">
      <c r="A5" s="312"/>
      <c r="B5" s="291"/>
    </row>
    <row r="6" spans="1:2" ht="15.75" x14ac:dyDescent="0.2">
      <c r="A6" s="291" t="s">
        <v>4</v>
      </c>
      <c r="B6" s="291"/>
    </row>
    <row r="7" spans="1:2" ht="15.75" x14ac:dyDescent="0.25">
      <c r="A7" s="290">
        <v>1</v>
      </c>
      <c r="B7" s="292" t="s">
        <v>5</v>
      </c>
    </row>
    <row r="8" spans="1:2" x14ac:dyDescent="0.2">
      <c r="A8" s="293"/>
      <c r="B8" s="294" t="s">
        <v>6</v>
      </c>
    </row>
    <row r="9" spans="1:2" x14ac:dyDescent="0.2">
      <c r="A9" s="293"/>
      <c r="B9" s="294" t="s">
        <v>7</v>
      </c>
    </row>
    <row r="10" spans="1:2" x14ac:dyDescent="0.2">
      <c r="A10" s="293"/>
      <c r="B10" s="294" t="s">
        <v>8</v>
      </c>
    </row>
    <row r="11" spans="1:2" x14ac:dyDescent="0.2">
      <c r="A11" s="293"/>
      <c r="B11" s="294" t="s">
        <v>9</v>
      </c>
    </row>
    <row r="12" spans="1:2" ht="30.75" x14ac:dyDescent="0.2">
      <c r="A12" s="293"/>
      <c r="B12" s="294" t="s">
        <v>10</v>
      </c>
    </row>
    <row r="13" spans="1:2" x14ac:dyDescent="0.2">
      <c r="A13" s="293"/>
      <c r="B13" s="294" t="s">
        <v>11</v>
      </c>
    </row>
    <row r="15" spans="1:2" s="295" customFormat="1" ht="15.75" x14ac:dyDescent="0.25">
      <c r="A15" s="295">
        <v>2</v>
      </c>
      <c r="B15" s="292" t="s">
        <v>12</v>
      </c>
    </row>
    <row r="16" spans="1:2" x14ac:dyDescent="0.2">
      <c r="A16" s="293"/>
      <c r="B16" s="294" t="s">
        <v>13</v>
      </c>
    </row>
    <row r="17" spans="1:2" x14ac:dyDescent="0.2">
      <c r="A17" s="293"/>
      <c r="B17" s="294" t="s">
        <v>14</v>
      </c>
    </row>
    <row r="18" spans="1:2" ht="30" x14ac:dyDescent="0.2">
      <c r="A18" s="293"/>
      <c r="B18" s="294" t="s">
        <v>15</v>
      </c>
    </row>
    <row r="19" spans="1:2" x14ac:dyDescent="0.2">
      <c r="A19" s="293"/>
      <c r="B19" s="294" t="s">
        <v>16</v>
      </c>
    </row>
    <row r="20" spans="1:2" x14ac:dyDescent="0.2">
      <c r="A20" s="293"/>
      <c r="B20" s="294" t="s">
        <v>17</v>
      </c>
    </row>
    <row r="21" spans="1:2" x14ac:dyDescent="0.2">
      <c r="A21" s="293"/>
      <c r="B21" s="294" t="s">
        <v>18</v>
      </c>
    </row>
    <row r="22" spans="1:2" x14ac:dyDescent="0.2">
      <c r="A22" s="293"/>
      <c r="B22" s="294" t="s">
        <v>19</v>
      </c>
    </row>
    <row r="23" spans="1:2" x14ac:dyDescent="0.2">
      <c r="A23" s="293"/>
      <c r="B23" s="294" t="s">
        <v>20</v>
      </c>
    </row>
    <row r="24" spans="1:2" x14ac:dyDescent="0.2">
      <c r="A24" s="293"/>
      <c r="B24" s="294" t="s">
        <v>21</v>
      </c>
    </row>
    <row r="25" spans="1:2" x14ac:dyDescent="0.2">
      <c r="A25" s="293"/>
      <c r="B25" s="294" t="s">
        <v>11</v>
      </c>
    </row>
    <row r="26" spans="1:2" x14ac:dyDescent="0.2">
      <c r="A26" s="296"/>
      <c r="B26" s="294"/>
    </row>
    <row r="28" spans="1:2" ht="15.75" x14ac:dyDescent="0.2">
      <c r="A28" s="290">
        <v>3</v>
      </c>
      <c r="B28" s="297" t="s">
        <v>22</v>
      </c>
    </row>
    <row r="29" spans="1:2" ht="30" x14ac:dyDescent="0.2">
      <c r="A29" s="293"/>
      <c r="B29" s="294" t="s">
        <v>23</v>
      </c>
    </row>
    <row r="30" spans="1:2" ht="30" x14ac:dyDescent="0.2">
      <c r="A30" s="293"/>
      <c r="B30" s="294" t="s">
        <v>24</v>
      </c>
    </row>
    <row r="31" spans="1:2" x14ac:dyDescent="0.2">
      <c r="A31" s="296"/>
      <c r="B31" s="294"/>
    </row>
    <row r="32" spans="1:2" ht="15.75" x14ac:dyDescent="0.25">
      <c r="A32" s="290">
        <v>4</v>
      </c>
      <c r="B32" s="292" t="s">
        <v>25</v>
      </c>
    </row>
    <row r="33" spans="1:3" x14ac:dyDescent="0.2">
      <c r="A33" s="296"/>
      <c r="B33" s="294" t="s">
        <v>26</v>
      </c>
    </row>
    <row r="34" spans="1:3" x14ac:dyDescent="0.2">
      <c r="A34" s="296"/>
      <c r="B34" s="294" t="s">
        <v>27</v>
      </c>
    </row>
    <row r="35" spans="1:3" x14ac:dyDescent="0.2">
      <c r="A35" s="296"/>
      <c r="B35" s="294"/>
    </row>
    <row r="36" spans="1:3" ht="15.75" x14ac:dyDescent="0.25">
      <c r="A36" s="290">
        <v>5</v>
      </c>
      <c r="B36" s="318" t="s">
        <v>476</v>
      </c>
    </row>
    <row r="37" spans="1:3" ht="30" x14ac:dyDescent="0.2">
      <c r="A37" s="296"/>
      <c r="B37" s="294" t="s">
        <v>483</v>
      </c>
    </row>
    <row r="38" spans="1:3" ht="30" x14ac:dyDescent="0.2">
      <c r="A38" s="296"/>
      <c r="B38" s="294" t="s">
        <v>484</v>
      </c>
    </row>
    <row r="39" spans="1:3" x14ac:dyDescent="0.2">
      <c r="A39" s="296"/>
      <c r="B39" s="294"/>
    </row>
    <row r="40" spans="1:3" x14ac:dyDescent="0.2">
      <c r="A40" s="296"/>
      <c r="B40" s="294"/>
    </row>
    <row r="41" spans="1:3" ht="15.75" x14ac:dyDescent="0.25">
      <c r="A41" s="290">
        <v>6</v>
      </c>
      <c r="B41" s="292" t="s">
        <v>28</v>
      </c>
    </row>
    <row r="42" spans="1:3" ht="60" x14ac:dyDescent="0.2">
      <c r="B42" s="299" t="s">
        <v>499</v>
      </c>
    </row>
    <row r="43" spans="1:3" ht="45" x14ac:dyDescent="0.2">
      <c r="A43" s="293"/>
      <c r="B43" s="298" t="s">
        <v>29</v>
      </c>
    </row>
    <row r="44" spans="1:3" ht="60" x14ac:dyDescent="0.2">
      <c r="A44" s="293"/>
      <c r="B44" s="298" t="s">
        <v>500</v>
      </c>
    </row>
    <row r="45" spans="1:3" x14ac:dyDescent="0.2">
      <c r="A45" s="293"/>
      <c r="B45" s="298" t="s">
        <v>491</v>
      </c>
    </row>
    <row r="46" spans="1:3" ht="30" x14ac:dyDescent="0.2">
      <c r="A46" s="293"/>
      <c r="B46" s="298" t="s">
        <v>30</v>
      </c>
    </row>
    <row r="47" spans="1:3" ht="30" x14ac:dyDescent="0.2">
      <c r="A47" s="293"/>
      <c r="B47" s="298" t="s">
        <v>492</v>
      </c>
    </row>
    <row r="48" spans="1:3" ht="45.75" x14ac:dyDescent="0.25">
      <c r="A48" s="293"/>
      <c r="B48" s="298" t="s">
        <v>501</v>
      </c>
      <c r="C48"/>
    </row>
    <row r="49" spans="1:3" ht="15.75" x14ac:dyDescent="0.25">
      <c r="A49" s="296"/>
      <c r="B49" s="298"/>
      <c r="C49"/>
    </row>
    <row r="50" spans="1:3" ht="15.75" x14ac:dyDescent="0.2">
      <c r="A50" s="290">
        <v>7</v>
      </c>
      <c r="B50" s="297" t="s">
        <v>22</v>
      </c>
    </row>
    <row r="51" spans="1:3" ht="60" x14ac:dyDescent="0.2">
      <c r="A51" s="293"/>
      <c r="B51" s="294" t="s">
        <v>486</v>
      </c>
    </row>
    <row r="52" spans="1:3" x14ac:dyDescent="0.2">
      <c r="A52" s="293"/>
      <c r="B52" s="294" t="s">
        <v>487</v>
      </c>
    </row>
    <row r="53" spans="1:3" ht="30" x14ac:dyDescent="0.2">
      <c r="A53" s="293"/>
      <c r="B53" s="294" t="s">
        <v>485</v>
      </c>
    </row>
    <row r="54" spans="1:3" x14ac:dyDescent="0.2">
      <c r="B54" s="299"/>
    </row>
    <row r="55" spans="1:3" x14ac:dyDescent="0.2">
      <c r="B55" s="299"/>
    </row>
  </sheetData>
  <mergeCells count="1">
    <mergeCell ref="A1:B1"/>
  </mergeCells>
  <pageMargins left="0.45" right="0.45" top="0.5" bottom="0.5" header="0.3" footer="0.3"/>
  <pageSetup scale="95" orientation="landscape" r:id="rId1"/>
  <rowBreaks count="1" manualBreakCount="1">
    <brk id="26"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H57"/>
  <sheetViews>
    <sheetView workbookViewId="0">
      <selection activeCell="B22" sqref="B22"/>
    </sheetView>
  </sheetViews>
  <sheetFormatPr defaultRowHeight="15" x14ac:dyDescent="0.25"/>
  <cols>
    <col min="1" max="1" width="34.42578125" bestFit="1" customWidth="1"/>
    <col min="2" max="2" width="12.140625" customWidth="1"/>
    <col min="3" max="3" width="38.7109375" customWidth="1"/>
    <col min="4" max="4" width="21.5703125" bestFit="1" customWidth="1"/>
    <col min="5" max="5" width="22.7109375" customWidth="1"/>
  </cols>
  <sheetData>
    <row r="1" spans="1:8" x14ac:dyDescent="0.25">
      <c r="A1" s="143" t="s">
        <v>31</v>
      </c>
    </row>
    <row r="3" spans="1:8" x14ac:dyDescent="0.25">
      <c r="A3" s="144" t="s">
        <v>32</v>
      </c>
    </row>
    <row r="4" spans="1:8" x14ac:dyDescent="0.25">
      <c r="A4" t="s">
        <v>33</v>
      </c>
      <c r="B4" s="141">
        <v>45839</v>
      </c>
    </row>
    <row r="5" spans="1:8" x14ac:dyDescent="0.25">
      <c r="A5" t="s">
        <v>34</v>
      </c>
      <c r="B5" s="141">
        <v>46203</v>
      </c>
    </row>
    <row r="6" spans="1:8" x14ac:dyDescent="0.25">
      <c r="A6" t="s">
        <v>35</v>
      </c>
      <c r="B6" s="141">
        <v>46204</v>
      </c>
      <c r="E6" s="23"/>
      <c r="F6" s="23"/>
      <c r="G6" s="23"/>
      <c r="H6" s="23"/>
    </row>
    <row r="7" spans="1:8" x14ac:dyDescent="0.25">
      <c r="A7" t="s">
        <v>36</v>
      </c>
      <c r="B7" s="141">
        <v>46568</v>
      </c>
      <c r="E7" s="23"/>
      <c r="F7" s="23"/>
      <c r="G7" s="23"/>
      <c r="H7" s="23"/>
    </row>
    <row r="8" spans="1:8" x14ac:dyDescent="0.25">
      <c r="A8" t="s">
        <v>37</v>
      </c>
      <c r="B8" s="141">
        <v>45839</v>
      </c>
      <c r="E8" s="23"/>
      <c r="F8" s="23"/>
      <c r="G8" s="23"/>
      <c r="H8" s="23"/>
    </row>
    <row r="9" spans="1:8" x14ac:dyDescent="0.25">
      <c r="B9" s="141"/>
      <c r="E9" s="23"/>
      <c r="F9" s="23"/>
      <c r="G9" s="23"/>
      <c r="H9" s="23"/>
    </row>
    <row r="10" spans="1:8" x14ac:dyDescent="0.25">
      <c r="A10" t="s">
        <v>38</v>
      </c>
      <c r="B10" s="142"/>
      <c r="E10" s="23"/>
      <c r="F10" s="23"/>
      <c r="G10" s="33"/>
      <c r="H10" s="34"/>
    </row>
    <row r="11" spans="1:8" x14ac:dyDescent="0.25">
      <c r="A11" t="s">
        <v>39</v>
      </c>
      <c r="B11" s="142">
        <v>2026</v>
      </c>
      <c r="E11" s="23"/>
      <c r="F11" s="23"/>
      <c r="G11" s="33"/>
      <c r="H11" s="34"/>
    </row>
    <row r="12" spans="1:8" x14ac:dyDescent="0.25">
      <c r="A12" t="s">
        <v>40</v>
      </c>
      <c r="B12" s="142">
        <v>2027</v>
      </c>
      <c r="E12" s="23"/>
      <c r="F12" s="23"/>
      <c r="G12" s="33"/>
      <c r="H12" s="34"/>
    </row>
    <row r="13" spans="1:8" x14ac:dyDescent="0.25">
      <c r="B13" s="142"/>
      <c r="E13" s="23"/>
      <c r="F13" s="23"/>
      <c r="G13" s="33"/>
      <c r="H13" s="34"/>
    </row>
    <row r="14" spans="1:8" x14ac:dyDescent="0.25">
      <c r="A14" t="s">
        <v>41</v>
      </c>
      <c r="B14" s="141">
        <v>45931</v>
      </c>
      <c r="E14" s="23"/>
      <c r="F14" s="23"/>
      <c r="G14" s="33"/>
      <c r="H14" s="34"/>
    </row>
    <row r="15" spans="1:8" x14ac:dyDescent="0.25">
      <c r="A15" t="s">
        <v>42</v>
      </c>
      <c r="B15" s="141">
        <v>46204</v>
      </c>
      <c r="E15" s="23"/>
      <c r="F15" s="23"/>
      <c r="G15" s="33"/>
      <c r="H15" s="34"/>
    </row>
    <row r="18" spans="1:7" x14ac:dyDescent="0.25">
      <c r="A18" s="38" t="s">
        <v>43</v>
      </c>
    </row>
    <row r="19" spans="1:7" x14ac:dyDescent="0.25">
      <c r="A19" s="111" t="s">
        <v>44</v>
      </c>
      <c r="B19" s="112"/>
      <c r="C19" s="112"/>
      <c r="D19" s="113" t="s">
        <v>45</v>
      </c>
      <c r="E19" s="114" t="s">
        <v>46</v>
      </c>
    </row>
    <row r="20" spans="1:7" x14ac:dyDescent="0.25">
      <c r="A20" s="73" t="s">
        <v>47</v>
      </c>
      <c r="B20" s="73" t="s">
        <v>48</v>
      </c>
      <c r="C20" s="288" t="s">
        <v>49</v>
      </c>
      <c r="D20" s="70"/>
      <c r="E20" s="70"/>
    </row>
    <row r="21" spans="1:7" x14ac:dyDescent="0.25">
      <c r="A21" s="80" t="s">
        <v>50</v>
      </c>
      <c r="B21" s="81">
        <v>7050</v>
      </c>
      <c r="C21" s="115" t="s">
        <v>51</v>
      </c>
      <c r="D21" s="159">
        <v>2.68</v>
      </c>
      <c r="E21" s="159">
        <v>2.68</v>
      </c>
    </row>
    <row r="22" spans="1:7" x14ac:dyDescent="0.25">
      <c r="A22" s="90" t="s">
        <v>50</v>
      </c>
      <c r="B22" s="91">
        <v>7054</v>
      </c>
      <c r="C22" s="118" t="s">
        <v>52</v>
      </c>
      <c r="D22" s="160">
        <v>116.43</v>
      </c>
      <c r="E22" s="161">
        <v>116.43</v>
      </c>
    </row>
    <row r="23" spans="1:7" x14ac:dyDescent="0.25">
      <c r="A23" s="80" t="s">
        <v>53</v>
      </c>
      <c r="B23" s="81">
        <v>7554</v>
      </c>
      <c r="C23" s="115" t="s">
        <v>54</v>
      </c>
      <c r="D23" s="159">
        <v>307.79000000000002</v>
      </c>
      <c r="E23" s="159">
        <v>307.79000000000002</v>
      </c>
      <c r="G23" s="167"/>
    </row>
    <row r="24" spans="1:7" x14ac:dyDescent="0.25">
      <c r="A24" s="90" t="s">
        <v>53</v>
      </c>
      <c r="B24" s="91">
        <v>7556</v>
      </c>
      <c r="C24" s="118" t="s">
        <v>55</v>
      </c>
      <c r="D24" s="160">
        <v>108.19</v>
      </c>
      <c r="E24" s="160">
        <v>108.19</v>
      </c>
      <c r="G24" s="167"/>
    </row>
    <row r="25" spans="1:7" x14ac:dyDescent="0.25">
      <c r="A25" s="111" t="s">
        <v>56</v>
      </c>
      <c r="B25" s="112"/>
      <c r="C25" s="112"/>
      <c r="D25" s="52" t="s">
        <v>57</v>
      </c>
      <c r="E25" s="53" t="s">
        <v>58</v>
      </c>
    </row>
    <row r="26" spans="1:7" x14ac:dyDescent="0.25">
      <c r="A26" s="73" t="s">
        <v>47</v>
      </c>
      <c r="B26" s="73" t="s">
        <v>48</v>
      </c>
      <c r="C26" s="288" t="s">
        <v>49</v>
      </c>
      <c r="D26" s="70"/>
      <c r="E26" s="70"/>
    </row>
    <row r="27" spans="1:7" x14ac:dyDescent="0.25">
      <c r="A27" s="90" t="s">
        <v>53</v>
      </c>
      <c r="B27" s="91">
        <v>7547</v>
      </c>
      <c r="C27" s="126" t="s">
        <v>59</v>
      </c>
      <c r="D27" s="59">
        <v>34.75</v>
      </c>
      <c r="E27" s="59">
        <v>34.75</v>
      </c>
    </row>
    <row r="29" spans="1:7" x14ac:dyDescent="0.25">
      <c r="A29" s="73" t="s">
        <v>47</v>
      </c>
      <c r="B29" s="36" t="s">
        <v>48</v>
      </c>
      <c r="C29" s="37" t="s">
        <v>49</v>
      </c>
      <c r="D29" s="35" t="s">
        <v>60</v>
      </c>
    </row>
    <row r="30" spans="1:7" x14ac:dyDescent="0.25">
      <c r="A30" s="90" t="s">
        <v>50</v>
      </c>
      <c r="B30" s="91">
        <v>7289</v>
      </c>
      <c r="C30" s="126" t="s">
        <v>61</v>
      </c>
      <c r="D30" s="54">
        <v>18.66</v>
      </c>
    </row>
    <row r="32" spans="1:7" x14ac:dyDescent="0.25">
      <c r="A32" s="73" t="s">
        <v>47</v>
      </c>
      <c r="B32" s="337" t="s">
        <v>49</v>
      </c>
      <c r="C32" s="338"/>
      <c r="D32" s="289"/>
      <c r="E32" s="35" t="s">
        <v>62</v>
      </c>
    </row>
    <row r="33" spans="1:5" ht="88.5" customHeight="1" x14ac:dyDescent="0.25">
      <c r="A33" s="145" t="s">
        <v>63</v>
      </c>
      <c r="B33" s="310">
        <v>8241</v>
      </c>
      <c r="C33" s="309" t="s">
        <v>64</v>
      </c>
      <c r="D33" s="308"/>
      <c r="E33" s="146">
        <v>2478</v>
      </c>
    </row>
    <row r="34" spans="1:5" ht="75.75" customHeight="1" x14ac:dyDescent="0.25">
      <c r="A34" s="145" t="s">
        <v>63</v>
      </c>
      <c r="B34" s="310">
        <v>8241</v>
      </c>
      <c r="C34" s="309" t="s">
        <v>65</v>
      </c>
      <c r="D34" s="308"/>
      <c r="E34" s="146">
        <v>3897</v>
      </c>
    </row>
    <row r="35" spans="1:5" x14ac:dyDescent="0.25">
      <c r="A35" s="145" t="s">
        <v>53</v>
      </c>
      <c r="B35" s="147">
        <v>8371</v>
      </c>
      <c r="C35" s="336" t="s">
        <v>493</v>
      </c>
      <c r="D35" s="336"/>
      <c r="E35" s="148">
        <v>1579</v>
      </c>
    </row>
    <row r="36" spans="1:5" x14ac:dyDescent="0.25">
      <c r="A36" s="145" t="s">
        <v>53</v>
      </c>
      <c r="B36" s="147">
        <v>8371</v>
      </c>
      <c r="C36" s="336" t="s">
        <v>494</v>
      </c>
      <c r="D36" s="336"/>
      <c r="E36" s="149">
        <v>189</v>
      </c>
    </row>
    <row r="37" spans="1:5" x14ac:dyDescent="0.25">
      <c r="A37" s="145" t="s">
        <v>53</v>
      </c>
      <c r="B37" s="147">
        <v>8371</v>
      </c>
      <c r="C37" s="336" t="s">
        <v>68</v>
      </c>
      <c r="D37" s="336"/>
      <c r="E37" s="149">
        <v>1402</v>
      </c>
    </row>
    <row r="38" spans="1:5" x14ac:dyDescent="0.25">
      <c r="A38" s="145" t="s">
        <v>53</v>
      </c>
      <c r="B38" s="147">
        <v>8371</v>
      </c>
      <c r="C38" s="336" t="s">
        <v>495</v>
      </c>
      <c r="D38" s="336"/>
      <c r="E38" s="149">
        <v>73</v>
      </c>
    </row>
    <row r="39" spans="1:5" x14ac:dyDescent="0.25">
      <c r="A39" s="145" t="s">
        <v>53</v>
      </c>
      <c r="B39" s="147">
        <v>8371</v>
      </c>
      <c r="C39" s="336" t="s">
        <v>69</v>
      </c>
      <c r="D39" s="336"/>
      <c r="E39" s="149">
        <v>85</v>
      </c>
    </row>
    <row r="40" spans="1:5" x14ac:dyDescent="0.25">
      <c r="A40" s="145" t="s">
        <v>53</v>
      </c>
      <c r="B40" s="147">
        <v>8371</v>
      </c>
      <c r="C40" s="336" t="s">
        <v>70</v>
      </c>
      <c r="D40" s="336"/>
      <c r="E40" s="149">
        <v>2880</v>
      </c>
    </row>
    <row r="41" spans="1:5" x14ac:dyDescent="0.25">
      <c r="A41" s="145" t="s">
        <v>53</v>
      </c>
      <c r="B41" s="147">
        <v>8371</v>
      </c>
      <c r="C41" s="336" t="s">
        <v>71</v>
      </c>
      <c r="D41" s="336"/>
      <c r="E41" s="149">
        <v>75</v>
      </c>
    </row>
    <row r="44" spans="1:5" x14ac:dyDescent="0.25">
      <c r="A44" s="19" t="s">
        <v>72</v>
      </c>
      <c r="B44" s="23"/>
      <c r="C44" s="23"/>
    </row>
    <row r="45" spans="1:5" x14ac:dyDescent="0.25">
      <c r="A45" s="151" t="s">
        <v>73</v>
      </c>
      <c r="B45" s="151" t="s">
        <v>74</v>
      </c>
      <c r="C45" s="151" t="s">
        <v>75</v>
      </c>
    </row>
    <row r="46" spans="1:5" x14ac:dyDescent="0.25">
      <c r="A46" s="150" t="s">
        <v>76</v>
      </c>
      <c r="B46" s="150" t="s">
        <v>77</v>
      </c>
      <c r="C46" s="150" t="s">
        <v>78</v>
      </c>
    </row>
    <row r="47" spans="1:5" x14ac:dyDescent="0.25">
      <c r="A47" s="150" t="s">
        <v>79</v>
      </c>
      <c r="B47" s="150" t="s">
        <v>80</v>
      </c>
      <c r="C47" s="150" t="s">
        <v>81</v>
      </c>
    </row>
    <row r="48" spans="1:5" x14ac:dyDescent="0.25">
      <c r="A48" s="150"/>
      <c r="B48" s="150"/>
      <c r="C48" s="150" t="s">
        <v>82</v>
      </c>
    </row>
    <row r="49" spans="1:3" x14ac:dyDescent="0.25">
      <c r="A49" s="150"/>
      <c r="B49" s="150"/>
      <c r="C49" s="150" t="s">
        <v>83</v>
      </c>
    </row>
    <row r="50" spans="1:3" x14ac:dyDescent="0.25">
      <c r="A50" s="150"/>
      <c r="B50" s="150"/>
      <c r="C50" s="150" t="s">
        <v>84</v>
      </c>
    </row>
    <row r="54" spans="1:3" x14ac:dyDescent="0.25">
      <c r="C54" s="192" t="s">
        <v>85</v>
      </c>
    </row>
    <row r="55" spans="1:3" x14ac:dyDescent="0.25">
      <c r="C55" s="195" t="s">
        <v>86</v>
      </c>
    </row>
    <row r="56" spans="1:3" x14ac:dyDescent="0.25">
      <c r="C56" s="195" t="s">
        <v>87</v>
      </c>
    </row>
    <row r="57" spans="1:3" x14ac:dyDescent="0.25">
      <c r="C57" s="195" t="s">
        <v>88</v>
      </c>
    </row>
  </sheetData>
  <mergeCells count="8">
    <mergeCell ref="C39:D39"/>
    <mergeCell ref="C40:D40"/>
    <mergeCell ref="C41:D41"/>
    <mergeCell ref="C37:D37"/>
    <mergeCell ref="B32:C32"/>
    <mergeCell ref="C35:D35"/>
    <mergeCell ref="C36:D36"/>
    <mergeCell ref="C38:D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A895D-C479-4D3C-8AF8-07B4024172FA}">
  <dimension ref="A1:I148"/>
  <sheetViews>
    <sheetView topLeftCell="A7" workbookViewId="0">
      <selection activeCell="K24" sqref="K24"/>
    </sheetView>
  </sheetViews>
  <sheetFormatPr defaultRowHeight="15" x14ac:dyDescent="0.25"/>
  <cols>
    <col min="5" max="5" width="13.28515625" customWidth="1"/>
    <col min="7" max="7" width="12.28515625" customWidth="1"/>
    <col min="9" max="9" width="47.28515625" bestFit="1" customWidth="1"/>
    <col min="10" max="10" width="11.28515625" customWidth="1"/>
  </cols>
  <sheetData>
    <row r="1" spans="1:9" x14ac:dyDescent="0.25">
      <c r="A1" t="s">
        <v>89</v>
      </c>
    </row>
    <row r="2" spans="1:9" x14ac:dyDescent="0.25">
      <c r="A2" t="s">
        <v>90</v>
      </c>
    </row>
    <row r="3" spans="1:9" x14ac:dyDescent="0.25">
      <c r="A3" t="s">
        <v>91</v>
      </c>
    </row>
    <row r="4" spans="1:9" x14ac:dyDescent="0.25">
      <c r="A4" t="s">
        <v>92</v>
      </c>
    </row>
    <row r="5" spans="1:9" x14ac:dyDescent="0.25">
      <c r="A5" t="s">
        <v>93</v>
      </c>
    </row>
    <row r="6" spans="1:9" x14ac:dyDescent="0.25">
      <c r="A6" t="s">
        <v>94</v>
      </c>
    </row>
    <row r="8" spans="1:9" x14ac:dyDescent="0.25">
      <c r="A8" s="306" t="s">
        <v>95</v>
      </c>
    </row>
    <row r="10" spans="1:9" x14ac:dyDescent="0.25">
      <c r="A10" t="s">
        <v>96</v>
      </c>
      <c r="B10" t="s">
        <v>97</v>
      </c>
      <c r="C10" t="s">
        <v>98</v>
      </c>
      <c r="D10" t="s">
        <v>49</v>
      </c>
      <c r="E10" t="s">
        <v>99</v>
      </c>
      <c r="F10" t="s">
        <v>100</v>
      </c>
      <c r="G10" t="s">
        <v>101</v>
      </c>
      <c r="H10" t="s">
        <v>102</v>
      </c>
      <c r="I10" t="s">
        <v>103</v>
      </c>
    </row>
    <row r="11" spans="1:9" x14ac:dyDescent="0.25">
      <c r="A11" t="s">
        <v>104</v>
      </c>
      <c r="B11" t="s">
        <v>105</v>
      </c>
      <c r="C11" t="s">
        <v>106</v>
      </c>
      <c r="D11" t="s">
        <v>107</v>
      </c>
      <c r="E11" s="282">
        <v>5079248</v>
      </c>
      <c r="F11" s="282">
        <v>5637330</v>
      </c>
      <c r="G11" s="282">
        <v>6705291</v>
      </c>
      <c r="H11" s="282">
        <v>6749526</v>
      </c>
      <c r="I11" t="s">
        <v>108</v>
      </c>
    </row>
    <row r="12" spans="1:9" x14ac:dyDescent="0.25">
      <c r="A12" t="s">
        <v>104</v>
      </c>
      <c r="B12" t="s">
        <v>105</v>
      </c>
      <c r="C12" t="s">
        <v>109</v>
      </c>
      <c r="D12" t="s">
        <v>110</v>
      </c>
      <c r="E12" s="282">
        <v>0</v>
      </c>
      <c r="F12" s="282">
        <v>0</v>
      </c>
      <c r="G12" s="282">
        <v>0</v>
      </c>
      <c r="H12" s="282">
        <v>0</v>
      </c>
      <c r="I12" t="s">
        <v>108</v>
      </c>
    </row>
    <row r="13" spans="1:9" x14ac:dyDescent="0.25">
      <c r="A13" t="s">
        <v>104</v>
      </c>
      <c r="B13" t="s">
        <v>105</v>
      </c>
      <c r="C13" t="s">
        <v>382</v>
      </c>
      <c r="D13" t="s">
        <v>383</v>
      </c>
      <c r="E13" s="282">
        <v>0</v>
      </c>
      <c r="F13" s="282">
        <v>0</v>
      </c>
      <c r="G13" s="282">
        <v>0</v>
      </c>
      <c r="H13" s="282">
        <v>0</v>
      </c>
      <c r="I13" t="s">
        <v>108</v>
      </c>
    </row>
    <row r="14" spans="1:9" x14ac:dyDescent="0.25">
      <c r="A14" t="s">
        <v>104</v>
      </c>
      <c r="B14" t="s">
        <v>105</v>
      </c>
      <c r="C14" t="s">
        <v>384</v>
      </c>
      <c r="D14" t="s">
        <v>385</v>
      </c>
      <c r="E14" s="282">
        <v>0</v>
      </c>
      <c r="F14" s="282">
        <v>0</v>
      </c>
      <c r="G14" s="282">
        <v>0</v>
      </c>
      <c r="H14" s="282">
        <v>0</v>
      </c>
      <c r="I14" t="s">
        <v>108</v>
      </c>
    </row>
    <row r="15" spans="1:9" x14ac:dyDescent="0.25">
      <c r="A15" t="s">
        <v>104</v>
      </c>
      <c r="B15" t="s">
        <v>105</v>
      </c>
      <c r="C15" t="s">
        <v>111</v>
      </c>
      <c r="D15" t="s">
        <v>112</v>
      </c>
      <c r="E15" s="282">
        <v>2072606</v>
      </c>
      <c r="F15" s="282">
        <v>2099096</v>
      </c>
      <c r="G15" s="282">
        <v>2099096</v>
      </c>
      <c r="H15" s="282">
        <v>2099096</v>
      </c>
      <c r="I15" t="s">
        <v>108</v>
      </c>
    </row>
    <row r="16" spans="1:9" x14ac:dyDescent="0.25">
      <c r="A16" t="s">
        <v>104</v>
      </c>
      <c r="B16" t="s">
        <v>105</v>
      </c>
      <c r="C16" t="s">
        <v>386</v>
      </c>
      <c r="D16" t="s">
        <v>387</v>
      </c>
      <c r="E16" s="282">
        <v>0</v>
      </c>
      <c r="F16" s="282">
        <v>0</v>
      </c>
      <c r="G16" s="282">
        <v>0</v>
      </c>
      <c r="H16" s="282">
        <v>0</v>
      </c>
      <c r="I16" t="s">
        <v>108</v>
      </c>
    </row>
    <row r="17" spans="1:9" x14ac:dyDescent="0.25">
      <c r="A17" t="s">
        <v>104</v>
      </c>
      <c r="B17" t="s">
        <v>113</v>
      </c>
      <c r="C17" t="s">
        <v>114</v>
      </c>
      <c r="D17" t="s">
        <v>115</v>
      </c>
      <c r="E17" s="282">
        <v>3467991</v>
      </c>
      <c r="F17" s="282">
        <v>3518672</v>
      </c>
      <c r="G17" s="282">
        <v>4348359</v>
      </c>
      <c r="H17" s="282">
        <v>4383285</v>
      </c>
      <c r="I17" t="s">
        <v>116</v>
      </c>
    </row>
    <row r="18" spans="1:9" x14ac:dyDescent="0.25">
      <c r="A18" t="s">
        <v>104</v>
      </c>
      <c r="B18" t="s">
        <v>113</v>
      </c>
      <c r="C18" t="s">
        <v>117</v>
      </c>
      <c r="D18" t="s">
        <v>118</v>
      </c>
      <c r="E18" s="282">
        <v>53166</v>
      </c>
      <c r="F18" s="282">
        <v>53500</v>
      </c>
      <c r="G18" s="282">
        <v>53160</v>
      </c>
      <c r="H18" s="282">
        <v>53387</v>
      </c>
      <c r="I18" t="s">
        <v>116</v>
      </c>
    </row>
    <row r="19" spans="1:9" x14ac:dyDescent="0.25">
      <c r="A19" t="s">
        <v>104</v>
      </c>
      <c r="B19" t="s">
        <v>113</v>
      </c>
      <c r="C19" t="s">
        <v>119</v>
      </c>
      <c r="D19" t="s">
        <v>120</v>
      </c>
      <c r="E19" s="282">
        <v>836156</v>
      </c>
      <c r="F19" s="282">
        <v>847430</v>
      </c>
      <c r="G19" s="282">
        <v>1047628</v>
      </c>
      <c r="H19" s="282">
        <v>1055091</v>
      </c>
      <c r="I19" t="s">
        <v>116</v>
      </c>
    </row>
    <row r="20" spans="1:9" x14ac:dyDescent="0.25">
      <c r="A20" t="s">
        <v>104</v>
      </c>
      <c r="B20" t="s">
        <v>113</v>
      </c>
      <c r="C20" t="s">
        <v>121</v>
      </c>
      <c r="D20" t="s">
        <v>122</v>
      </c>
      <c r="E20" s="282">
        <v>7454</v>
      </c>
      <c r="F20" s="282">
        <v>7488</v>
      </c>
      <c r="G20" s="282">
        <v>7488</v>
      </c>
      <c r="H20" s="282">
        <v>7488</v>
      </c>
      <c r="I20" t="s">
        <v>116</v>
      </c>
    </row>
    <row r="21" spans="1:9" x14ac:dyDescent="0.25">
      <c r="A21" t="s">
        <v>104</v>
      </c>
      <c r="B21" t="s">
        <v>113</v>
      </c>
      <c r="C21" t="s">
        <v>123</v>
      </c>
      <c r="D21" t="s">
        <v>124</v>
      </c>
      <c r="E21" s="282">
        <v>42</v>
      </c>
      <c r="F21" s="282">
        <v>42</v>
      </c>
      <c r="G21" s="282">
        <v>42</v>
      </c>
      <c r="H21" s="282">
        <v>42</v>
      </c>
      <c r="I21" t="s">
        <v>388</v>
      </c>
    </row>
    <row r="22" spans="1:9" x14ac:dyDescent="0.25">
      <c r="A22" t="s">
        <v>104</v>
      </c>
      <c r="B22" t="s">
        <v>113</v>
      </c>
      <c r="C22" t="s">
        <v>125</v>
      </c>
      <c r="D22" t="s">
        <v>126</v>
      </c>
      <c r="E22" s="282">
        <v>625</v>
      </c>
      <c r="F22" s="282">
        <v>625</v>
      </c>
      <c r="G22" s="282">
        <v>625</v>
      </c>
      <c r="H22" s="282">
        <v>625</v>
      </c>
      <c r="I22" t="s">
        <v>127</v>
      </c>
    </row>
    <row r="23" spans="1:9" x14ac:dyDescent="0.25">
      <c r="A23" t="s">
        <v>104</v>
      </c>
      <c r="B23" t="s">
        <v>113</v>
      </c>
      <c r="C23" t="s">
        <v>128</v>
      </c>
      <c r="D23" t="s">
        <v>129</v>
      </c>
      <c r="E23" s="282">
        <v>341640</v>
      </c>
      <c r="F23" s="282">
        <v>355212</v>
      </c>
      <c r="G23" s="282">
        <v>355212</v>
      </c>
      <c r="H23" s="282">
        <v>355212</v>
      </c>
      <c r="I23" t="s">
        <v>116</v>
      </c>
    </row>
    <row r="24" spans="1:9" x14ac:dyDescent="0.25">
      <c r="A24" t="s">
        <v>104</v>
      </c>
      <c r="B24" t="s">
        <v>113</v>
      </c>
      <c r="C24" t="s">
        <v>130</v>
      </c>
      <c r="D24" t="s">
        <v>131</v>
      </c>
      <c r="E24" s="282">
        <v>1418</v>
      </c>
      <c r="F24" s="282">
        <v>1434</v>
      </c>
      <c r="G24" s="282">
        <v>1434</v>
      </c>
      <c r="H24" s="282">
        <v>1434</v>
      </c>
      <c r="I24" t="s">
        <v>116</v>
      </c>
    </row>
    <row r="25" spans="1:9" x14ac:dyDescent="0.25">
      <c r="A25" t="s">
        <v>104</v>
      </c>
      <c r="B25" t="s">
        <v>113</v>
      </c>
      <c r="C25" t="s">
        <v>132</v>
      </c>
      <c r="D25" t="s">
        <v>133</v>
      </c>
      <c r="E25" s="282">
        <v>107855</v>
      </c>
      <c r="F25" s="282">
        <v>111889</v>
      </c>
      <c r="G25" s="282">
        <v>138274</v>
      </c>
      <c r="H25" s="282">
        <v>139386</v>
      </c>
      <c r="I25" t="s">
        <v>116</v>
      </c>
    </row>
    <row r="26" spans="1:9" x14ac:dyDescent="0.25">
      <c r="A26" t="s">
        <v>104</v>
      </c>
      <c r="B26" t="s">
        <v>113</v>
      </c>
      <c r="C26" t="s">
        <v>134</v>
      </c>
      <c r="D26" t="s">
        <v>135</v>
      </c>
      <c r="E26" s="282">
        <v>2264</v>
      </c>
      <c r="F26" s="282">
        <v>0</v>
      </c>
      <c r="G26" s="282">
        <v>0</v>
      </c>
      <c r="H26" s="282">
        <v>0</v>
      </c>
      <c r="I26" t="s">
        <v>116</v>
      </c>
    </row>
    <row r="27" spans="1:9" x14ac:dyDescent="0.25">
      <c r="A27" t="s">
        <v>104</v>
      </c>
      <c r="B27" t="s">
        <v>113</v>
      </c>
      <c r="C27" t="s">
        <v>136</v>
      </c>
      <c r="D27" t="s">
        <v>137</v>
      </c>
      <c r="E27" s="282">
        <v>27893</v>
      </c>
      <c r="F27" s="282">
        <v>420165</v>
      </c>
      <c r="G27" s="282">
        <v>420165</v>
      </c>
      <c r="H27" s="282">
        <v>420165</v>
      </c>
      <c r="I27" t="s">
        <v>108</v>
      </c>
    </row>
    <row r="28" spans="1:9" x14ac:dyDescent="0.25">
      <c r="A28" t="s">
        <v>104</v>
      </c>
      <c r="B28" t="s">
        <v>113</v>
      </c>
      <c r="C28" t="s">
        <v>389</v>
      </c>
      <c r="D28" t="s">
        <v>390</v>
      </c>
      <c r="E28" s="282">
        <v>0</v>
      </c>
      <c r="F28" s="282">
        <v>0</v>
      </c>
      <c r="G28" s="282">
        <v>0</v>
      </c>
      <c r="H28" s="282">
        <v>0</v>
      </c>
      <c r="I28" t="s">
        <v>108</v>
      </c>
    </row>
    <row r="29" spans="1:9" x14ac:dyDescent="0.25">
      <c r="A29" t="s">
        <v>104</v>
      </c>
      <c r="B29" t="s">
        <v>113</v>
      </c>
      <c r="C29" t="s">
        <v>138</v>
      </c>
      <c r="D29" t="s">
        <v>139</v>
      </c>
      <c r="E29" s="282">
        <v>50290</v>
      </c>
      <c r="F29" s="282">
        <v>51021</v>
      </c>
      <c r="G29" s="282">
        <v>63051</v>
      </c>
      <c r="H29" s="282">
        <v>63558</v>
      </c>
      <c r="I29" t="s">
        <v>116</v>
      </c>
    </row>
    <row r="30" spans="1:9" x14ac:dyDescent="0.25">
      <c r="A30" t="s">
        <v>104</v>
      </c>
      <c r="B30" t="s">
        <v>113</v>
      </c>
      <c r="C30" t="s">
        <v>142</v>
      </c>
      <c r="D30" t="s">
        <v>143</v>
      </c>
      <c r="E30" s="282">
        <v>0</v>
      </c>
      <c r="F30" s="282">
        <v>0</v>
      </c>
      <c r="G30" s="282">
        <v>0</v>
      </c>
      <c r="H30" s="282">
        <v>0</v>
      </c>
      <c r="I30" t="s">
        <v>108</v>
      </c>
    </row>
    <row r="31" spans="1:9" x14ac:dyDescent="0.25">
      <c r="A31" t="s">
        <v>104</v>
      </c>
      <c r="B31" t="s">
        <v>113</v>
      </c>
      <c r="C31" t="s">
        <v>144</v>
      </c>
      <c r="D31" t="s">
        <v>145</v>
      </c>
      <c r="E31" s="282">
        <v>0</v>
      </c>
      <c r="F31" s="282">
        <v>0</v>
      </c>
      <c r="G31" s="282">
        <v>0</v>
      </c>
      <c r="H31" s="282">
        <v>0</v>
      </c>
      <c r="I31" t="s">
        <v>108</v>
      </c>
    </row>
    <row r="32" spans="1:9" x14ac:dyDescent="0.25">
      <c r="A32" t="s">
        <v>104</v>
      </c>
      <c r="B32" t="s">
        <v>113</v>
      </c>
      <c r="C32" t="s">
        <v>391</v>
      </c>
      <c r="D32" t="s">
        <v>392</v>
      </c>
      <c r="E32" s="282">
        <v>0</v>
      </c>
      <c r="F32" s="282">
        <v>0</v>
      </c>
      <c r="G32" s="282">
        <v>0</v>
      </c>
      <c r="H32" s="282">
        <v>0</v>
      </c>
      <c r="I32" t="s">
        <v>108</v>
      </c>
    </row>
    <row r="33" spans="1:9" x14ac:dyDescent="0.25">
      <c r="A33" t="s">
        <v>104</v>
      </c>
      <c r="B33" t="s">
        <v>146</v>
      </c>
      <c r="C33" t="s">
        <v>147</v>
      </c>
      <c r="D33" t="s">
        <v>148</v>
      </c>
      <c r="E33" s="282">
        <v>1675</v>
      </c>
      <c r="F33" s="282">
        <v>1675</v>
      </c>
      <c r="G33" s="282">
        <v>1675</v>
      </c>
      <c r="H33" s="282">
        <v>1675</v>
      </c>
      <c r="I33" t="s">
        <v>108</v>
      </c>
    </row>
    <row r="34" spans="1:9" x14ac:dyDescent="0.25">
      <c r="A34" t="s">
        <v>104</v>
      </c>
      <c r="B34" t="s">
        <v>146</v>
      </c>
      <c r="C34" t="s">
        <v>149</v>
      </c>
      <c r="D34" t="s">
        <v>150</v>
      </c>
      <c r="E34" s="282">
        <v>57</v>
      </c>
      <c r="F34" s="282">
        <v>57</v>
      </c>
      <c r="G34" s="282">
        <v>57</v>
      </c>
      <c r="H34" s="282">
        <v>57</v>
      </c>
      <c r="I34" t="s">
        <v>108</v>
      </c>
    </row>
    <row r="35" spans="1:9" x14ac:dyDescent="0.25">
      <c r="A35" t="s">
        <v>104</v>
      </c>
      <c r="B35" t="s">
        <v>146</v>
      </c>
      <c r="C35" t="s">
        <v>151</v>
      </c>
      <c r="D35" t="s">
        <v>152</v>
      </c>
      <c r="E35" s="282">
        <v>87</v>
      </c>
      <c r="F35" s="282">
        <v>87</v>
      </c>
      <c r="G35" s="282">
        <v>87</v>
      </c>
      <c r="H35" s="282">
        <v>87</v>
      </c>
      <c r="I35" t="s">
        <v>108</v>
      </c>
    </row>
    <row r="36" spans="1:9" x14ac:dyDescent="0.25">
      <c r="A36" t="s">
        <v>104</v>
      </c>
      <c r="B36" t="s">
        <v>146</v>
      </c>
      <c r="C36" t="s">
        <v>153</v>
      </c>
      <c r="D36" t="s">
        <v>154</v>
      </c>
      <c r="E36" s="282">
        <v>1039</v>
      </c>
      <c r="F36" s="282">
        <v>1039</v>
      </c>
      <c r="G36" s="282">
        <v>1039</v>
      </c>
      <c r="H36" s="282">
        <v>1039</v>
      </c>
      <c r="I36" t="s">
        <v>108</v>
      </c>
    </row>
    <row r="37" spans="1:9" x14ac:dyDescent="0.25">
      <c r="A37" t="s">
        <v>104</v>
      </c>
      <c r="B37" t="s">
        <v>155</v>
      </c>
      <c r="C37" t="s">
        <v>156</v>
      </c>
      <c r="D37" t="s">
        <v>157</v>
      </c>
      <c r="E37" s="282">
        <v>2894</v>
      </c>
      <c r="F37" s="282">
        <v>2894</v>
      </c>
      <c r="G37" s="282">
        <v>2894</v>
      </c>
      <c r="H37" s="282">
        <v>2894</v>
      </c>
      <c r="I37" t="s">
        <v>108</v>
      </c>
    </row>
    <row r="38" spans="1:9" x14ac:dyDescent="0.25">
      <c r="A38" t="s">
        <v>104</v>
      </c>
      <c r="B38" t="s">
        <v>155</v>
      </c>
      <c r="C38" t="s">
        <v>158</v>
      </c>
      <c r="D38" t="s">
        <v>159</v>
      </c>
      <c r="E38" s="282">
        <v>498</v>
      </c>
      <c r="F38" s="282">
        <v>498</v>
      </c>
      <c r="G38" s="282">
        <v>498</v>
      </c>
      <c r="H38" s="282">
        <v>498</v>
      </c>
      <c r="I38" t="s">
        <v>108</v>
      </c>
    </row>
    <row r="39" spans="1:9" x14ac:dyDescent="0.25">
      <c r="A39" t="s">
        <v>104</v>
      </c>
      <c r="B39" t="s">
        <v>155</v>
      </c>
      <c r="C39" t="s">
        <v>160</v>
      </c>
      <c r="D39" t="s">
        <v>161</v>
      </c>
      <c r="E39" s="282">
        <v>0</v>
      </c>
      <c r="F39" s="282">
        <v>0</v>
      </c>
      <c r="G39" s="282">
        <v>0</v>
      </c>
      <c r="H39" s="282">
        <v>0</v>
      </c>
      <c r="I39" t="s">
        <v>108</v>
      </c>
    </row>
    <row r="40" spans="1:9" x14ac:dyDescent="0.25">
      <c r="A40" t="s">
        <v>104</v>
      </c>
      <c r="B40" t="s">
        <v>155</v>
      </c>
      <c r="C40" t="s">
        <v>162</v>
      </c>
      <c r="D40" t="s">
        <v>163</v>
      </c>
      <c r="E40" s="282">
        <v>55</v>
      </c>
      <c r="F40" s="282">
        <v>55</v>
      </c>
      <c r="G40" s="282">
        <v>55</v>
      </c>
      <c r="H40" s="282">
        <v>55</v>
      </c>
      <c r="I40" t="s">
        <v>108</v>
      </c>
    </row>
    <row r="41" spans="1:9" x14ac:dyDescent="0.25">
      <c r="A41" t="s">
        <v>104</v>
      </c>
      <c r="B41" t="s">
        <v>155</v>
      </c>
      <c r="C41" t="s">
        <v>164</v>
      </c>
      <c r="D41" t="s">
        <v>165</v>
      </c>
      <c r="E41" s="282">
        <v>0</v>
      </c>
      <c r="F41" s="282">
        <v>0</v>
      </c>
      <c r="G41" s="282">
        <v>0</v>
      </c>
      <c r="H41" s="282">
        <v>0</v>
      </c>
      <c r="I41" t="s">
        <v>108</v>
      </c>
    </row>
    <row r="42" spans="1:9" x14ac:dyDescent="0.25">
      <c r="A42" t="s">
        <v>104</v>
      </c>
      <c r="B42" t="s">
        <v>155</v>
      </c>
      <c r="C42" t="s">
        <v>166</v>
      </c>
      <c r="D42" t="s">
        <v>167</v>
      </c>
      <c r="E42" s="282">
        <v>255</v>
      </c>
      <c r="F42" s="282">
        <v>255</v>
      </c>
      <c r="G42" s="282">
        <v>255</v>
      </c>
      <c r="H42" s="282">
        <v>255</v>
      </c>
      <c r="I42" t="s">
        <v>108</v>
      </c>
    </row>
    <row r="43" spans="1:9" x14ac:dyDescent="0.25">
      <c r="A43" t="s">
        <v>104</v>
      </c>
      <c r="B43" t="s">
        <v>155</v>
      </c>
      <c r="C43" t="s">
        <v>168</v>
      </c>
      <c r="D43" t="s">
        <v>169</v>
      </c>
      <c r="E43" s="282">
        <v>1981</v>
      </c>
      <c r="F43" s="282">
        <v>1981</v>
      </c>
      <c r="G43" s="282">
        <v>1981</v>
      </c>
      <c r="H43" s="282">
        <v>1981</v>
      </c>
      <c r="I43" t="s">
        <v>108</v>
      </c>
    </row>
    <row r="44" spans="1:9" x14ac:dyDescent="0.25">
      <c r="A44" t="s">
        <v>104</v>
      </c>
      <c r="B44" t="s">
        <v>155</v>
      </c>
      <c r="C44" t="s">
        <v>217</v>
      </c>
      <c r="D44" t="s">
        <v>218</v>
      </c>
      <c r="E44" s="282">
        <v>9000</v>
      </c>
      <c r="F44" s="282">
        <v>9000</v>
      </c>
      <c r="G44" s="282">
        <v>9000</v>
      </c>
      <c r="H44" s="282">
        <v>9000</v>
      </c>
      <c r="I44" t="s">
        <v>108</v>
      </c>
    </row>
    <row r="45" spans="1:9" x14ac:dyDescent="0.25">
      <c r="A45" t="s">
        <v>104</v>
      </c>
      <c r="B45" t="s">
        <v>50</v>
      </c>
      <c r="C45" t="s">
        <v>170</v>
      </c>
      <c r="D45" t="s">
        <v>171</v>
      </c>
      <c r="E45" s="282">
        <v>2353</v>
      </c>
      <c r="F45" s="282">
        <v>2353</v>
      </c>
      <c r="G45" s="282">
        <v>2353</v>
      </c>
      <c r="H45" s="282">
        <v>2353</v>
      </c>
      <c r="I45" t="s">
        <v>108</v>
      </c>
    </row>
    <row r="46" spans="1:9" x14ac:dyDescent="0.25">
      <c r="A46" t="s">
        <v>104</v>
      </c>
      <c r="B46" t="s">
        <v>50</v>
      </c>
      <c r="C46" t="s">
        <v>393</v>
      </c>
      <c r="D46" t="s">
        <v>394</v>
      </c>
      <c r="E46" s="282">
        <v>1633</v>
      </c>
      <c r="F46" s="282">
        <v>1633</v>
      </c>
      <c r="G46" s="282">
        <v>1633</v>
      </c>
      <c r="H46" s="282">
        <v>1633</v>
      </c>
      <c r="I46" t="s">
        <v>108</v>
      </c>
    </row>
    <row r="47" spans="1:9" x14ac:dyDescent="0.25">
      <c r="A47" t="s">
        <v>104</v>
      </c>
      <c r="B47" t="s">
        <v>50</v>
      </c>
      <c r="C47" t="s">
        <v>172</v>
      </c>
      <c r="D47" t="s">
        <v>173</v>
      </c>
      <c r="E47" s="282">
        <v>7342</v>
      </c>
      <c r="F47" s="282">
        <v>7342</v>
      </c>
      <c r="G47" s="282">
        <v>7342</v>
      </c>
      <c r="H47" s="282">
        <v>7342</v>
      </c>
      <c r="I47" t="s">
        <v>108</v>
      </c>
    </row>
    <row r="48" spans="1:9" x14ac:dyDescent="0.25">
      <c r="A48" t="s">
        <v>104</v>
      </c>
      <c r="B48" t="s">
        <v>50</v>
      </c>
      <c r="C48" t="s">
        <v>174</v>
      </c>
      <c r="D48" t="s">
        <v>175</v>
      </c>
      <c r="E48" s="282">
        <v>0</v>
      </c>
      <c r="F48" s="282">
        <v>0</v>
      </c>
      <c r="G48" s="282">
        <v>0</v>
      </c>
      <c r="H48" s="282">
        <v>0</v>
      </c>
      <c r="I48" t="s">
        <v>108</v>
      </c>
    </row>
    <row r="49" spans="1:9" x14ac:dyDescent="0.25">
      <c r="A49" t="s">
        <v>104</v>
      </c>
      <c r="B49" t="s">
        <v>50</v>
      </c>
      <c r="C49" t="s">
        <v>395</v>
      </c>
      <c r="D49" t="s">
        <v>396</v>
      </c>
      <c r="E49" s="282">
        <v>0</v>
      </c>
      <c r="F49" s="282">
        <v>20625</v>
      </c>
      <c r="G49" s="282">
        <v>20625</v>
      </c>
      <c r="H49" s="282">
        <v>20625</v>
      </c>
      <c r="I49" t="s">
        <v>108</v>
      </c>
    </row>
    <row r="50" spans="1:9" x14ac:dyDescent="0.25">
      <c r="A50" t="s">
        <v>104</v>
      </c>
      <c r="B50" t="s">
        <v>50</v>
      </c>
      <c r="C50" t="s">
        <v>176</v>
      </c>
      <c r="D50" t="s">
        <v>177</v>
      </c>
      <c r="E50" s="282">
        <v>105</v>
      </c>
      <c r="F50" s="282">
        <v>105</v>
      </c>
      <c r="G50" s="282">
        <v>105</v>
      </c>
      <c r="H50" s="282">
        <v>105</v>
      </c>
      <c r="I50" t="s">
        <v>116</v>
      </c>
    </row>
    <row r="51" spans="1:9" x14ac:dyDescent="0.25">
      <c r="A51" t="s">
        <v>104</v>
      </c>
      <c r="B51" t="s">
        <v>50</v>
      </c>
      <c r="C51" t="s">
        <v>178</v>
      </c>
      <c r="D51" t="s">
        <v>179</v>
      </c>
      <c r="E51" s="282">
        <v>0</v>
      </c>
      <c r="F51" s="282">
        <v>0</v>
      </c>
      <c r="G51" s="282">
        <v>0</v>
      </c>
      <c r="H51" s="282">
        <v>0</v>
      </c>
      <c r="I51" t="s">
        <v>180</v>
      </c>
    </row>
    <row r="52" spans="1:9" x14ac:dyDescent="0.25">
      <c r="A52" t="s">
        <v>104</v>
      </c>
      <c r="B52" t="s">
        <v>50</v>
      </c>
      <c r="C52" t="s">
        <v>181</v>
      </c>
      <c r="D52" t="s">
        <v>182</v>
      </c>
      <c r="E52" s="282">
        <v>4539</v>
      </c>
      <c r="F52" s="282">
        <v>4540</v>
      </c>
      <c r="G52" s="282">
        <v>4541</v>
      </c>
      <c r="H52" s="282">
        <v>4541</v>
      </c>
      <c r="I52" t="s">
        <v>116</v>
      </c>
    </row>
    <row r="53" spans="1:9" x14ac:dyDescent="0.25">
      <c r="A53" t="s">
        <v>104</v>
      </c>
      <c r="B53" t="s">
        <v>50</v>
      </c>
      <c r="C53" t="s">
        <v>397</v>
      </c>
      <c r="D53" t="s">
        <v>398</v>
      </c>
      <c r="E53" s="282">
        <v>4814</v>
      </c>
      <c r="F53" s="282">
        <v>4814</v>
      </c>
      <c r="G53" s="282">
        <v>4814</v>
      </c>
      <c r="H53" s="282">
        <v>4814</v>
      </c>
      <c r="I53" t="s">
        <v>399</v>
      </c>
    </row>
    <row r="54" spans="1:9" x14ac:dyDescent="0.25">
      <c r="A54" t="s">
        <v>104</v>
      </c>
      <c r="B54" t="s">
        <v>50</v>
      </c>
      <c r="C54" t="s">
        <v>184</v>
      </c>
      <c r="D54" t="s">
        <v>185</v>
      </c>
      <c r="E54" s="282">
        <v>1474</v>
      </c>
      <c r="F54" s="282">
        <v>1474</v>
      </c>
      <c r="G54" s="282">
        <v>1474</v>
      </c>
      <c r="H54" s="282">
        <v>1474</v>
      </c>
      <c r="I54" t="s">
        <v>186</v>
      </c>
    </row>
    <row r="55" spans="1:9" x14ac:dyDescent="0.25">
      <c r="A55" t="s">
        <v>104</v>
      </c>
      <c r="B55" t="s">
        <v>50</v>
      </c>
      <c r="C55" t="s">
        <v>400</v>
      </c>
      <c r="D55" t="s">
        <v>401</v>
      </c>
      <c r="E55" s="282">
        <v>198</v>
      </c>
      <c r="F55" s="282">
        <v>198</v>
      </c>
      <c r="G55" s="282">
        <v>198</v>
      </c>
      <c r="H55" s="282">
        <v>198</v>
      </c>
      <c r="I55" t="s">
        <v>108</v>
      </c>
    </row>
    <row r="56" spans="1:9" x14ac:dyDescent="0.25">
      <c r="A56" t="s">
        <v>104</v>
      </c>
      <c r="B56" t="s">
        <v>50</v>
      </c>
      <c r="C56" t="s">
        <v>402</v>
      </c>
      <c r="D56" t="s">
        <v>403</v>
      </c>
      <c r="E56" s="282">
        <v>142963</v>
      </c>
      <c r="F56" s="282">
        <v>142963</v>
      </c>
      <c r="G56" s="282">
        <v>142963</v>
      </c>
      <c r="H56" s="282">
        <v>142963</v>
      </c>
      <c r="I56" t="s">
        <v>399</v>
      </c>
    </row>
    <row r="57" spans="1:9" x14ac:dyDescent="0.25">
      <c r="A57" t="s">
        <v>104</v>
      </c>
      <c r="B57" t="s">
        <v>50</v>
      </c>
      <c r="C57" t="s">
        <v>191</v>
      </c>
      <c r="D57" t="s">
        <v>192</v>
      </c>
      <c r="E57" s="282">
        <v>50</v>
      </c>
      <c r="F57" s="282">
        <v>50</v>
      </c>
      <c r="G57" s="282">
        <v>50</v>
      </c>
      <c r="H57" s="282">
        <v>50</v>
      </c>
      <c r="I57" t="s">
        <v>108</v>
      </c>
    </row>
    <row r="58" spans="1:9" x14ac:dyDescent="0.25">
      <c r="A58" t="s">
        <v>104</v>
      </c>
      <c r="B58" t="s">
        <v>50</v>
      </c>
      <c r="C58" t="s">
        <v>193</v>
      </c>
      <c r="D58" t="s">
        <v>194</v>
      </c>
      <c r="E58" s="282">
        <v>418</v>
      </c>
      <c r="F58" s="282">
        <v>418</v>
      </c>
      <c r="G58" s="282">
        <v>418</v>
      </c>
      <c r="H58" s="282">
        <v>418</v>
      </c>
      <c r="I58" t="s">
        <v>108</v>
      </c>
    </row>
    <row r="59" spans="1:9" x14ac:dyDescent="0.25">
      <c r="A59" t="s">
        <v>104</v>
      </c>
      <c r="B59" t="s">
        <v>50</v>
      </c>
      <c r="C59" t="s">
        <v>195</v>
      </c>
      <c r="D59" t="s">
        <v>196</v>
      </c>
      <c r="E59" s="282">
        <v>2967</v>
      </c>
      <c r="F59" s="282">
        <v>2967</v>
      </c>
      <c r="G59" s="282">
        <v>2967</v>
      </c>
      <c r="H59" s="282">
        <v>2967</v>
      </c>
      <c r="I59" t="s">
        <v>197</v>
      </c>
    </row>
    <row r="60" spans="1:9" x14ac:dyDescent="0.25">
      <c r="A60" t="s">
        <v>104</v>
      </c>
      <c r="B60" t="s">
        <v>50</v>
      </c>
      <c r="C60" t="s">
        <v>198</v>
      </c>
      <c r="D60" t="s">
        <v>199</v>
      </c>
      <c r="E60" s="282">
        <v>7837</v>
      </c>
      <c r="F60" s="282">
        <v>7837</v>
      </c>
      <c r="G60" s="282">
        <v>7837</v>
      </c>
      <c r="H60" s="282">
        <v>7837</v>
      </c>
      <c r="I60" t="s">
        <v>356</v>
      </c>
    </row>
    <row r="61" spans="1:9" x14ac:dyDescent="0.25">
      <c r="A61" t="s">
        <v>104</v>
      </c>
      <c r="B61" t="s">
        <v>50</v>
      </c>
      <c r="C61" t="s">
        <v>201</v>
      </c>
      <c r="D61" t="s">
        <v>202</v>
      </c>
      <c r="E61" s="282">
        <v>1765</v>
      </c>
      <c r="F61" s="282">
        <v>1765</v>
      </c>
      <c r="G61" s="282">
        <v>1765</v>
      </c>
      <c r="H61" s="282">
        <v>1765</v>
      </c>
      <c r="I61" t="s">
        <v>108</v>
      </c>
    </row>
    <row r="62" spans="1:9" x14ac:dyDescent="0.25">
      <c r="A62" t="s">
        <v>104</v>
      </c>
      <c r="B62" t="s">
        <v>50</v>
      </c>
      <c r="C62" t="s">
        <v>203</v>
      </c>
      <c r="D62" t="s">
        <v>204</v>
      </c>
      <c r="E62" s="282">
        <v>123</v>
      </c>
      <c r="F62" s="282">
        <v>123</v>
      </c>
      <c r="G62" s="282">
        <v>123</v>
      </c>
      <c r="H62" s="282">
        <v>123</v>
      </c>
      <c r="I62" t="s">
        <v>108</v>
      </c>
    </row>
    <row r="63" spans="1:9" x14ac:dyDescent="0.25">
      <c r="A63" t="s">
        <v>104</v>
      </c>
      <c r="B63" t="s">
        <v>50</v>
      </c>
      <c r="C63" t="s">
        <v>207</v>
      </c>
      <c r="D63" t="s">
        <v>208</v>
      </c>
      <c r="E63" s="282">
        <v>21400</v>
      </c>
      <c r="F63" s="282">
        <v>21400</v>
      </c>
      <c r="G63" s="282">
        <v>21400</v>
      </c>
      <c r="H63" s="282">
        <v>21400</v>
      </c>
      <c r="I63" t="s">
        <v>186</v>
      </c>
    </row>
    <row r="64" spans="1:9" x14ac:dyDescent="0.25">
      <c r="A64" t="s">
        <v>104</v>
      </c>
      <c r="B64" t="s">
        <v>50</v>
      </c>
      <c r="C64" t="s">
        <v>209</v>
      </c>
      <c r="D64" t="s">
        <v>210</v>
      </c>
      <c r="E64" s="282">
        <v>595</v>
      </c>
      <c r="F64" s="282">
        <v>595</v>
      </c>
      <c r="G64" s="282">
        <v>595</v>
      </c>
      <c r="H64" s="282">
        <v>595</v>
      </c>
      <c r="I64" t="s">
        <v>186</v>
      </c>
    </row>
    <row r="65" spans="1:9" x14ac:dyDescent="0.25">
      <c r="A65" t="s">
        <v>104</v>
      </c>
      <c r="B65" t="s">
        <v>50</v>
      </c>
      <c r="C65" t="s">
        <v>404</v>
      </c>
      <c r="D65" t="s">
        <v>405</v>
      </c>
      <c r="E65" s="282">
        <v>81</v>
      </c>
      <c r="F65" s="282">
        <v>81</v>
      </c>
      <c r="G65" s="282">
        <v>81</v>
      </c>
      <c r="H65" s="282">
        <v>81</v>
      </c>
      <c r="I65" t="s">
        <v>108</v>
      </c>
    </row>
    <row r="66" spans="1:9" x14ac:dyDescent="0.25">
      <c r="A66" t="s">
        <v>104</v>
      </c>
      <c r="B66" t="s">
        <v>50</v>
      </c>
      <c r="C66" t="s">
        <v>406</v>
      </c>
      <c r="D66" t="s">
        <v>407</v>
      </c>
      <c r="E66" s="282">
        <v>726</v>
      </c>
      <c r="F66" s="282">
        <v>726</v>
      </c>
      <c r="G66" s="282">
        <v>726</v>
      </c>
      <c r="H66" s="282">
        <v>726</v>
      </c>
      <c r="I66" t="s">
        <v>186</v>
      </c>
    </row>
    <row r="67" spans="1:9" x14ac:dyDescent="0.25">
      <c r="A67" t="s">
        <v>104</v>
      </c>
      <c r="B67" t="s">
        <v>50</v>
      </c>
      <c r="C67" t="s">
        <v>211</v>
      </c>
      <c r="D67" t="s">
        <v>212</v>
      </c>
      <c r="E67" s="282">
        <v>0</v>
      </c>
      <c r="F67" s="282">
        <v>0</v>
      </c>
      <c r="G67" s="282">
        <v>0</v>
      </c>
      <c r="H67" s="282">
        <v>0</v>
      </c>
      <c r="I67" t="s">
        <v>213</v>
      </c>
    </row>
    <row r="68" spans="1:9" x14ac:dyDescent="0.25">
      <c r="A68" t="s">
        <v>104</v>
      </c>
      <c r="B68" t="s">
        <v>50</v>
      </c>
      <c r="C68" t="s">
        <v>214</v>
      </c>
      <c r="D68" t="s">
        <v>215</v>
      </c>
      <c r="E68" s="282">
        <v>6158</v>
      </c>
      <c r="F68" s="282">
        <v>6158</v>
      </c>
      <c r="G68" s="282">
        <v>6158</v>
      </c>
      <c r="H68" s="282">
        <v>6158</v>
      </c>
      <c r="I68" t="s">
        <v>186</v>
      </c>
    </row>
    <row r="69" spans="1:9" x14ac:dyDescent="0.25">
      <c r="A69" t="s">
        <v>104</v>
      </c>
      <c r="B69" t="s">
        <v>408</v>
      </c>
      <c r="C69" t="s">
        <v>170</v>
      </c>
      <c r="D69" t="s">
        <v>171</v>
      </c>
      <c r="E69" s="282">
        <v>0</v>
      </c>
      <c r="F69" s="282">
        <v>0</v>
      </c>
      <c r="G69" s="282">
        <v>0</v>
      </c>
      <c r="H69" s="282">
        <v>0</v>
      </c>
      <c r="I69" t="s">
        <v>108</v>
      </c>
    </row>
    <row r="70" spans="1:9" x14ac:dyDescent="0.25">
      <c r="A70" t="s">
        <v>104</v>
      </c>
      <c r="B70" t="s">
        <v>408</v>
      </c>
      <c r="C70" t="s">
        <v>205</v>
      </c>
      <c r="D70" t="s">
        <v>206</v>
      </c>
      <c r="E70" s="282">
        <v>0</v>
      </c>
      <c r="F70" s="282">
        <v>0</v>
      </c>
      <c r="G70" s="282">
        <v>0</v>
      </c>
      <c r="H70" s="282">
        <v>0</v>
      </c>
      <c r="I70" t="s">
        <v>108</v>
      </c>
    </row>
    <row r="71" spans="1:9" x14ac:dyDescent="0.25">
      <c r="A71" t="s">
        <v>104</v>
      </c>
      <c r="B71" t="s">
        <v>408</v>
      </c>
      <c r="C71" t="s">
        <v>211</v>
      </c>
      <c r="D71" t="s">
        <v>212</v>
      </c>
      <c r="E71" s="282">
        <v>0</v>
      </c>
      <c r="F71" s="282">
        <v>0</v>
      </c>
      <c r="G71" s="282">
        <v>0</v>
      </c>
      <c r="H71" s="282">
        <v>0</v>
      </c>
      <c r="I71" t="s">
        <v>213</v>
      </c>
    </row>
    <row r="72" spans="1:9" x14ac:dyDescent="0.25">
      <c r="A72" t="s">
        <v>104</v>
      </c>
      <c r="B72" t="s">
        <v>408</v>
      </c>
      <c r="C72" t="s">
        <v>409</v>
      </c>
      <c r="D72" t="s">
        <v>410</v>
      </c>
      <c r="E72" s="282">
        <v>0</v>
      </c>
      <c r="F72" s="282">
        <v>0</v>
      </c>
      <c r="G72" s="282">
        <v>0</v>
      </c>
      <c r="H72" s="282">
        <v>0</v>
      </c>
      <c r="I72" t="s">
        <v>213</v>
      </c>
    </row>
    <row r="73" spans="1:9" x14ac:dyDescent="0.25">
      <c r="A73" t="s">
        <v>104</v>
      </c>
      <c r="B73" t="s">
        <v>408</v>
      </c>
      <c r="C73" t="s">
        <v>233</v>
      </c>
      <c r="D73" t="s">
        <v>234</v>
      </c>
      <c r="E73" s="282">
        <v>0</v>
      </c>
      <c r="F73" s="282">
        <v>0</v>
      </c>
      <c r="G73" s="282">
        <v>0</v>
      </c>
      <c r="H73" s="282">
        <v>0</v>
      </c>
      <c r="I73" t="s">
        <v>213</v>
      </c>
    </row>
    <row r="74" spans="1:9" x14ac:dyDescent="0.25">
      <c r="A74" t="s">
        <v>104</v>
      </c>
      <c r="B74" t="s">
        <v>411</v>
      </c>
      <c r="C74" t="s">
        <v>412</v>
      </c>
      <c r="D74" t="s">
        <v>413</v>
      </c>
      <c r="E74" s="282">
        <v>0</v>
      </c>
      <c r="F74" s="282">
        <v>50000</v>
      </c>
      <c r="G74" s="282">
        <v>50000</v>
      </c>
      <c r="H74" s="282">
        <v>50000</v>
      </c>
      <c r="I74" t="s">
        <v>186</v>
      </c>
    </row>
    <row r="75" spans="1:9" x14ac:dyDescent="0.25">
      <c r="A75" t="s">
        <v>104</v>
      </c>
      <c r="B75" t="s">
        <v>216</v>
      </c>
      <c r="C75" t="s">
        <v>414</v>
      </c>
      <c r="D75" t="s">
        <v>415</v>
      </c>
      <c r="E75" s="282">
        <v>37728</v>
      </c>
      <c r="F75" s="282">
        <v>57729</v>
      </c>
      <c r="G75" s="282">
        <v>57729</v>
      </c>
      <c r="H75" s="282">
        <v>57729</v>
      </c>
      <c r="I75" t="s">
        <v>186</v>
      </c>
    </row>
    <row r="76" spans="1:9" x14ac:dyDescent="0.25">
      <c r="A76" t="s">
        <v>104</v>
      </c>
      <c r="B76" t="s">
        <v>216</v>
      </c>
      <c r="C76" t="s">
        <v>187</v>
      </c>
      <c r="D76" t="s">
        <v>188</v>
      </c>
      <c r="E76" s="282">
        <v>78225</v>
      </c>
      <c r="F76" s="282">
        <v>43000</v>
      </c>
      <c r="G76" s="282">
        <v>43000</v>
      </c>
      <c r="H76" s="282">
        <v>43000</v>
      </c>
      <c r="I76" t="s">
        <v>186</v>
      </c>
    </row>
    <row r="77" spans="1:9" x14ac:dyDescent="0.25">
      <c r="A77" t="s">
        <v>104</v>
      </c>
      <c r="B77" t="s">
        <v>216</v>
      </c>
      <c r="C77" t="s">
        <v>416</v>
      </c>
      <c r="D77" t="s">
        <v>417</v>
      </c>
      <c r="E77" s="282">
        <v>35122</v>
      </c>
      <c r="F77" s="282">
        <v>70243</v>
      </c>
      <c r="G77" s="282">
        <v>70243</v>
      </c>
      <c r="H77" s="282">
        <v>70243</v>
      </c>
      <c r="I77" t="s">
        <v>186</v>
      </c>
    </row>
    <row r="78" spans="1:9" x14ac:dyDescent="0.25">
      <c r="A78" t="s">
        <v>104</v>
      </c>
      <c r="B78" t="s">
        <v>216</v>
      </c>
      <c r="C78" t="s">
        <v>406</v>
      </c>
      <c r="D78" t="s">
        <v>407</v>
      </c>
      <c r="E78" s="282">
        <v>3563</v>
      </c>
      <c r="F78" s="282">
        <v>3563</v>
      </c>
      <c r="G78" s="282">
        <v>3563</v>
      </c>
      <c r="H78" s="282">
        <v>3563</v>
      </c>
      <c r="I78" t="s">
        <v>186</v>
      </c>
    </row>
    <row r="79" spans="1:9" x14ac:dyDescent="0.25">
      <c r="A79" t="s">
        <v>104</v>
      </c>
      <c r="B79" t="s">
        <v>216</v>
      </c>
      <c r="C79" t="s">
        <v>418</v>
      </c>
      <c r="D79" t="s">
        <v>419</v>
      </c>
      <c r="E79" s="282">
        <v>1200</v>
      </c>
      <c r="F79" s="282">
        <v>1200</v>
      </c>
      <c r="G79" s="282">
        <v>1200</v>
      </c>
      <c r="H79" s="282">
        <v>1200</v>
      </c>
      <c r="I79" t="s">
        <v>186</v>
      </c>
    </row>
    <row r="80" spans="1:9" x14ac:dyDescent="0.25">
      <c r="A80" t="s">
        <v>104</v>
      </c>
      <c r="B80" t="s">
        <v>216</v>
      </c>
      <c r="C80" t="s">
        <v>420</v>
      </c>
      <c r="D80" t="s">
        <v>421</v>
      </c>
      <c r="E80" s="282">
        <v>542882</v>
      </c>
      <c r="F80" s="282">
        <v>568411</v>
      </c>
      <c r="G80" s="282">
        <v>568411</v>
      </c>
      <c r="H80" s="282">
        <v>568411</v>
      </c>
      <c r="I80" t="s">
        <v>108</v>
      </c>
    </row>
    <row r="81" spans="1:9" x14ac:dyDescent="0.25">
      <c r="A81" t="s">
        <v>104</v>
      </c>
      <c r="B81" t="s">
        <v>216</v>
      </c>
      <c r="C81" t="s">
        <v>422</v>
      </c>
      <c r="D81" t="s">
        <v>423</v>
      </c>
      <c r="E81" s="282">
        <v>0</v>
      </c>
      <c r="F81" s="282">
        <v>0</v>
      </c>
      <c r="G81" s="282">
        <v>0</v>
      </c>
      <c r="H81" s="282">
        <v>0</v>
      </c>
      <c r="I81" t="s">
        <v>108</v>
      </c>
    </row>
    <row r="82" spans="1:9" x14ac:dyDescent="0.25">
      <c r="A82" t="s">
        <v>104</v>
      </c>
      <c r="B82" t="s">
        <v>424</v>
      </c>
      <c r="C82" t="s">
        <v>217</v>
      </c>
      <c r="D82" t="s">
        <v>218</v>
      </c>
      <c r="E82" s="282">
        <v>0</v>
      </c>
      <c r="F82" s="282">
        <v>0</v>
      </c>
      <c r="G82" s="282">
        <v>0</v>
      </c>
      <c r="H82" s="282">
        <v>0</v>
      </c>
      <c r="I82" t="s">
        <v>108</v>
      </c>
    </row>
    <row r="83" spans="1:9" x14ac:dyDescent="0.25">
      <c r="A83" t="s">
        <v>104</v>
      </c>
      <c r="B83" t="s">
        <v>424</v>
      </c>
      <c r="C83" t="s">
        <v>184</v>
      </c>
      <c r="D83" t="s">
        <v>185</v>
      </c>
      <c r="E83" s="282">
        <v>0</v>
      </c>
      <c r="F83" s="282">
        <v>0</v>
      </c>
      <c r="G83" s="282">
        <v>0</v>
      </c>
      <c r="H83" s="282">
        <v>0</v>
      </c>
      <c r="I83" t="s">
        <v>186</v>
      </c>
    </row>
    <row r="84" spans="1:9" x14ac:dyDescent="0.25">
      <c r="A84" t="s">
        <v>104</v>
      </c>
      <c r="B84" t="s">
        <v>424</v>
      </c>
      <c r="C84" t="s">
        <v>187</v>
      </c>
      <c r="D84" t="s">
        <v>188</v>
      </c>
      <c r="E84" s="282">
        <v>0</v>
      </c>
      <c r="F84" s="282">
        <v>0</v>
      </c>
      <c r="G84" s="282">
        <v>0</v>
      </c>
      <c r="H84" s="282">
        <v>0</v>
      </c>
      <c r="I84" t="s">
        <v>186</v>
      </c>
    </row>
    <row r="85" spans="1:9" x14ac:dyDescent="0.25">
      <c r="A85" t="s">
        <v>104</v>
      </c>
      <c r="B85" t="s">
        <v>425</v>
      </c>
      <c r="C85" t="s">
        <v>147</v>
      </c>
      <c r="D85" t="s">
        <v>148</v>
      </c>
      <c r="E85" s="282">
        <v>749</v>
      </c>
      <c r="F85" s="282">
        <v>749</v>
      </c>
      <c r="G85" s="282">
        <v>749</v>
      </c>
      <c r="H85" s="282">
        <v>749</v>
      </c>
      <c r="I85" t="s">
        <v>108</v>
      </c>
    </row>
    <row r="86" spans="1:9" x14ac:dyDescent="0.25">
      <c r="A86" t="s">
        <v>104</v>
      </c>
      <c r="B86" t="s">
        <v>425</v>
      </c>
      <c r="C86" t="s">
        <v>151</v>
      </c>
      <c r="D86" t="s">
        <v>152</v>
      </c>
      <c r="E86" s="282">
        <v>30</v>
      </c>
      <c r="F86" s="282">
        <v>30</v>
      </c>
      <c r="G86" s="282">
        <v>30</v>
      </c>
      <c r="H86" s="282">
        <v>30</v>
      </c>
      <c r="I86" t="s">
        <v>108</v>
      </c>
    </row>
    <row r="87" spans="1:9" x14ac:dyDescent="0.25">
      <c r="A87" t="s">
        <v>104</v>
      </c>
      <c r="B87" t="s">
        <v>425</v>
      </c>
      <c r="C87" t="s">
        <v>153</v>
      </c>
      <c r="D87" t="s">
        <v>154</v>
      </c>
      <c r="E87" s="282">
        <v>476</v>
      </c>
      <c r="F87" s="282">
        <v>476</v>
      </c>
      <c r="G87" s="282">
        <v>476</v>
      </c>
      <c r="H87" s="282">
        <v>476</v>
      </c>
      <c r="I87" t="s">
        <v>108</v>
      </c>
    </row>
    <row r="88" spans="1:9" x14ac:dyDescent="0.25">
      <c r="A88" t="s">
        <v>104</v>
      </c>
      <c r="B88" t="s">
        <v>425</v>
      </c>
      <c r="C88" t="s">
        <v>156</v>
      </c>
      <c r="D88" t="s">
        <v>157</v>
      </c>
      <c r="E88" s="282">
        <v>7578</v>
      </c>
      <c r="F88" s="282">
        <v>7578</v>
      </c>
      <c r="G88" s="282">
        <v>7578</v>
      </c>
      <c r="H88" s="282">
        <v>7578</v>
      </c>
      <c r="I88" t="s">
        <v>108</v>
      </c>
    </row>
    <row r="89" spans="1:9" x14ac:dyDescent="0.25">
      <c r="A89" t="s">
        <v>104</v>
      </c>
      <c r="B89" t="s">
        <v>425</v>
      </c>
      <c r="C89" t="s">
        <v>164</v>
      </c>
      <c r="D89" t="s">
        <v>165</v>
      </c>
      <c r="E89" s="282">
        <v>900</v>
      </c>
      <c r="F89" s="282">
        <v>900</v>
      </c>
      <c r="G89" s="282">
        <v>900</v>
      </c>
      <c r="H89" s="282">
        <v>900</v>
      </c>
      <c r="I89" t="s">
        <v>108</v>
      </c>
    </row>
    <row r="90" spans="1:9" x14ac:dyDescent="0.25">
      <c r="A90" t="s">
        <v>104</v>
      </c>
      <c r="B90" t="s">
        <v>425</v>
      </c>
      <c r="C90" t="s">
        <v>166</v>
      </c>
      <c r="D90" t="s">
        <v>167</v>
      </c>
      <c r="E90" s="282">
        <v>3683</v>
      </c>
      <c r="F90" s="282">
        <v>3683</v>
      </c>
      <c r="G90" s="282">
        <v>3683</v>
      </c>
      <c r="H90" s="282">
        <v>3683</v>
      </c>
      <c r="I90" t="s">
        <v>108</v>
      </c>
    </row>
    <row r="91" spans="1:9" x14ac:dyDescent="0.25">
      <c r="A91" t="s">
        <v>104</v>
      </c>
      <c r="B91" t="s">
        <v>425</v>
      </c>
      <c r="C91" t="s">
        <v>168</v>
      </c>
      <c r="D91" t="s">
        <v>169</v>
      </c>
      <c r="E91" s="282">
        <v>4500</v>
      </c>
      <c r="F91" s="282">
        <v>4500</v>
      </c>
      <c r="G91" s="282">
        <v>4500</v>
      </c>
      <c r="H91" s="282">
        <v>4500</v>
      </c>
      <c r="I91" t="s">
        <v>108</v>
      </c>
    </row>
    <row r="92" spans="1:9" x14ac:dyDescent="0.25">
      <c r="A92" t="s">
        <v>104</v>
      </c>
      <c r="B92" t="s">
        <v>425</v>
      </c>
      <c r="C92" t="s">
        <v>217</v>
      </c>
      <c r="D92" t="s">
        <v>218</v>
      </c>
      <c r="E92" s="282">
        <v>10446</v>
      </c>
      <c r="F92" s="282">
        <v>10446</v>
      </c>
      <c r="G92" s="282">
        <v>10446</v>
      </c>
      <c r="H92" s="282">
        <v>10446</v>
      </c>
      <c r="I92" t="s">
        <v>108</v>
      </c>
    </row>
    <row r="93" spans="1:9" x14ac:dyDescent="0.25">
      <c r="A93" t="s">
        <v>104</v>
      </c>
      <c r="B93" t="s">
        <v>425</v>
      </c>
      <c r="C93" t="s">
        <v>170</v>
      </c>
      <c r="D93" t="s">
        <v>171</v>
      </c>
      <c r="E93" s="282">
        <v>1029</v>
      </c>
      <c r="F93" s="282">
        <v>1029</v>
      </c>
      <c r="G93" s="282">
        <v>1029</v>
      </c>
      <c r="H93" s="282">
        <v>1029</v>
      </c>
      <c r="I93" t="s">
        <v>108</v>
      </c>
    </row>
    <row r="94" spans="1:9" x14ac:dyDescent="0.25">
      <c r="A94" t="s">
        <v>104</v>
      </c>
      <c r="B94" t="s">
        <v>425</v>
      </c>
      <c r="C94" t="s">
        <v>393</v>
      </c>
      <c r="D94" t="s">
        <v>394</v>
      </c>
      <c r="E94" s="282">
        <v>548</v>
      </c>
      <c r="F94" s="282">
        <v>548</v>
      </c>
      <c r="G94" s="282">
        <v>548</v>
      </c>
      <c r="H94" s="282">
        <v>548</v>
      </c>
      <c r="I94" t="s">
        <v>108</v>
      </c>
    </row>
    <row r="95" spans="1:9" x14ac:dyDescent="0.25">
      <c r="A95" t="s">
        <v>104</v>
      </c>
      <c r="B95" t="s">
        <v>425</v>
      </c>
      <c r="C95" t="s">
        <v>184</v>
      </c>
      <c r="D95" t="s">
        <v>185</v>
      </c>
      <c r="E95" s="282">
        <v>148400</v>
      </c>
      <c r="F95" s="282">
        <v>142900</v>
      </c>
      <c r="G95" s="282">
        <v>142900</v>
      </c>
      <c r="H95" s="282">
        <v>142900</v>
      </c>
      <c r="I95" t="s">
        <v>186</v>
      </c>
    </row>
    <row r="96" spans="1:9" x14ac:dyDescent="0.25">
      <c r="A96" t="s">
        <v>104</v>
      </c>
      <c r="B96" t="s">
        <v>425</v>
      </c>
      <c r="C96" t="s">
        <v>412</v>
      </c>
      <c r="D96" t="s">
        <v>413</v>
      </c>
      <c r="E96" s="282">
        <v>527378</v>
      </c>
      <c r="F96" s="282">
        <v>527378</v>
      </c>
      <c r="G96" s="282">
        <v>527378</v>
      </c>
      <c r="H96" s="282">
        <v>527378</v>
      </c>
      <c r="I96" t="s">
        <v>186</v>
      </c>
    </row>
    <row r="97" spans="1:9" x14ac:dyDescent="0.25">
      <c r="A97" t="s">
        <v>104</v>
      </c>
      <c r="B97" t="s">
        <v>425</v>
      </c>
      <c r="C97" t="s">
        <v>219</v>
      </c>
      <c r="D97" t="s">
        <v>220</v>
      </c>
      <c r="E97" s="282">
        <v>0</v>
      </c>
      <c r="F97" s="282">
        <v>0</v>
      </c>
      <c r="G97" s="282">
        <v>0</v>
      </c>
      <c r="H97" s="282">
        <v>0</v>
      </c>
      <c r="I97" t="s">
        <v>186</v>
      </c>
    </row>
    <row r="98" spans="1:9" x14ac:dyDescent="0.25">
      <c r="A98" t="s">
        <v>104</v>
      </c>
      <c r="B98" t="s">
        <v>425</v>
      </c>
      <c r="C98" t="s">
        <v>189</v>
      </c>
      <c r="D98" t="s">
        <v>190</v>
      </c>
      <c r="E98" s="282">
        <v>0</v>
      </c>
      <c r="F98" s="282">
        <v>0</v>
      </c>
      <c r="G98" s="282">
        <v>0</v>
      </c>
      <c r="H98" s="282">
        <v>0</v>
      </c>
      <c r="I98" t="s">
        <v>108</v>
      </c>
    </row>
    <row r="99" spans="1:9" x14ac:dyDescent="0.25">
      <c r="A99" t="s">
        <v>104</v>
      </c>
      <c r="B99" t="s">
        <v>425</v>
      </c>
      <c r="C99" t="s">
        <v>198</v>
      </c>
      <c r="D99" t="s">
        <v>199</v>
      </c>
      <c r="E99" s="282">
        <v>3583</v>
      </c>
      <c r="F99" s="282">
        <v>3583</v>
      </c>
      <c r="G99" s="282">
        <v>3583</v>
      </c>
      <c r="H99" s="282">
        <v>3583</v>
      </c>
      <c r="I99" t="s">
        <v>356</v>
      </c>
    </row>
    <row r="100" spans="1:9" x14ac:dyDescent="0.25">
      <c r="A100" t="s">
        <v>104</v>
      </c>
      <c r="B100" t="s">
        <v>425</v>
      </c>
      <c r="C100" t="s">
        <v>203</v>
      </c>
      <c r="D100" t="s">
        <v>204</v>
      </c>
      <c r="E100" s="282">
        <v>9</v>
      </c>
      <c r="F100" s="282">
        <v>9</v>
      </c>
      <c r="G100" s="282">
        <v>9</v>
      </c>
      <c r="H100" s="282">
        <v>9</v>
      </c>
      <c r="I100" t="s">
        <v>108</v>
      </c>
    </row>
    <row r="101" spans="1:9" x14ac:dyDescent="0.25">
      <c r="A101" t="s">
        <v>104</v>
      </c>
      <c r="B101" t="s">
        <v>425</v>
      </c>
      <c r="C101" t="s">
        <v>205</v>
      </c>
      <c r="D101" t="s">
        <v>206</v>
      </c>
      <c r="E101" s="282">
        <v>0</v>
      </c>
      <c r="F101" s="282">
        <v>0</v>
      </c>
      <c r="G101" s="282">
        <v>0</v>
      </c>
      <c r="H101" s="282">
        <v>0</v>
      </c>
      <c r="I101" t="s">
        <v>108</v>
      </c>
    </row>
    <row r="102" spans="1:9" x14ac:dyDescent="0.25">
      <c r="A102" t="s">
        <v>104</v>
      </c>
      <c r="B102" t="s">
        <v>425</v>
      </c>
      <c r="C102" t="s">
        <v>211</v>
      </c>
      <c r="D102" t="s">
        <v>212</v>
      </c>
      <c r="E102" s="282">
        <v>0</v>
      </c>
      <c r="F102" s="282">
        <v>0</v>
      </c>
      <c r="G102" s="282">
        <v>0</v>
      </c>
      <c r="H102" s="282">
        <v>0</v>
      </c>
      <c r="I102" t="s">
        <v>213</v>
      </c>
    </row>
    <row r="103" spans="1:9" x14ac:dyDescent="0.25">
      <c r="A103" t="s">
        <v>104</v>
      </c>
      <c r="B103" t="s">
        <v>425</v>
      </c>
      <c r="C103" t="s">
        <v>225</v>
      </c>
      <c r="D103" t="s">
        <v>226</v>
      </c>
      <c r="E103" s="282">
        <v>6672</v>
      </c>
      <c r="F103" s="282">
        <v>6672</v>
      </c>
      <c r="G103" s="282">
        <v>6672</v>
      </c>
      <c r="H103" s="282">
        <v>6672</v>
      </c>
      <c r="I103" t="s">
        <v>356</v>
      </c>
    </row>
    <row r="104" spans="1:9" x14ac:dyDescent="0.25">
      <c r="A104" t="s">
        <v>104</v>
      </c>
      <c r="B104" t="s">
        <v>425</v>
      </c>
      <c r="C104" t="s">
        <v>231</v>
      </c>
      <c r="D104" t="s">
        <v>232</v>
      </c>
      <c r="E104" s="282">
        <v>0</v>
      </c>
      <c r="F104" s="282">
        <v>0</v>
      </c>
      <c r="G104" s="282">
        <v>0</v>
      </c>
      <c r="H104" s="282">
        <v>0</v>
      </c>
      <c r="I104" t="s">
        <v>213</v>
      </c>
    </row>
    <row r="105" spans="1:9" x14ac:dyDescent="0.25">
      <c r="A105" t="s">
        <v>104</v>
      </c>
      <c r="B105" t="s">
        <v>425</v>
      </c>
      <c r="C105" t="s">
        <v>214</v>
      </c>
      <c r="D105" t="s">
        <v>215</v>
      </c>
      <c r="E105" s="282">
        <v>1385</v>
      </c>
      <c r="F105" s="282">
        <v>1385</v>
      </c>
      <c r="G105" s="282">
        <v>1385</v>
      </c>
      <c r="H105" s="282">
        <v>1385</v>
      </c>
      <c r="I105" t="s">
        <v>186</v>
      </c>
    </row>
    <row r="106" spans="1:9" x14ac:dyDescent="0.25">
      <c r="A106" t="s">
        <v>104</v>
      </c>
      <c r="B106" t="s">
        <v>425</v>
      </c>
      <c r="C106" t="s">
        <v>426</v>
      </c>
      <c r="D106" t="s">
        <v>427</v>
      </c>
      <c r="E106" s="282">
        <v>0</v>
      </c>
      <c r="F106" s="282">
        <v>0</v>
      </c>
      <c r="G106" s="282">
        <v>0</v>
      </c>
      <c r="H106" s="282">
        <v>0</v>
      </c>
      <c r="I106" t="s">
        <v>108</v>
      </c>
    </row>
    <row r="107" spans="1:9" x14ac:dyDescent="0.25">
      <c r="A107" t="s">
        <v>104</v>
      </c>
      <c r="B107" t="s">
        <v>425</v>
      </c>
      <c r="C107" t="s">
        <v>428</v>
      </c>
      <c r="D107" t="s">
        <v>429</v>
      </c>
      <c r="E107" s="282">
        <v>0</v>
      </c>
      <c r="F107" s="282">
        <v>0</v>
      </c>
      <c r="G107" s="282">
        <v>0</v>
      </c>
      <c r="H107" s="282">
        <v>0</v>
      </c>
      <c r="I107" t="s">
        <v>213</v>
      </c>
    </row>
    <row r="108" spans="1:9" x14ac:dyDescent="0.25">
      <c r="A108" t="s">
        <v>104</v>
      </c>
      <c r="B108" t="s">
        <v>425</v>
      </c>
      <c r="C108" t="s">
        <v>233</v>
      </c>
      <c r="D108" t="s">
        <v>234</v>
      </c>
      <c r="E108" s="282">
        <v>0</v>
      </c>
      <c r="F108" s="282">
        <v>0</v>
      </c>
      <c r="G108" s="282">
        <v>0</v>
      </c>
      <c r="H108" s="282">
        <v>0</v>
      </c>
      <c r="I108" t="s">
        <v>213</v>
      </c>
    </row>
    <row r="109" spans="1:9" x14ac:dyDescent="0.25">
      <c r="A109" t="s">
        <v>104</v>
      </c>
      <c r="B109" t="s">
        <v>430</v>
      </c>
      <c r="C109" t="s">
        <v>140</v>
      </c>
      <c r="D109" t="s">
        <v>141</v>
      </c>
      <c r="E109" s="282">
        <v>1600</v>
      </c>
      <c r="F109" s="282">
        <v>1600</v>
      </c>
      <c r="G109" s="282">
        <v>1600</v>
      </c>
      <c r="H109" s="282">
        <v>1600</v>
      </c>
      <c r="I109" t="s">
        <v>108</v>
      </c>
    </row>
    <row r="110" spans="1:9" x14ac:dyDescent="0.25">
      <c r="A110" t="s">
        <v>104</v>
      </c>
      <c r="B110" t="s">
        <v>430</v>
      </c>
      <c r="C110" t="s">
        <v>431</v>
      </c>
      <c r="D110" t="s">
        <v>432</v>
      </c>
      <c r="E110" s="282">
        <v>2688</v>
      </c>
      <c r="F110" s="282">
        <v>2688</v>
      </c>
      <c r="G110" s="282">
        <v>2688</v>
      </c>
      <c r="H110" s="282">
        <v>2688</v>
      </c>
      <c r="I110" t="s">
        <v>108</v>
      </c>
    </row>
    <row r="111" spans="1:9" x14ac:dyDescent="0.25">
      <c r="A111" t="s">
        <v>104</v>
      </c>
      <c r="B111" t="s">
        <v>430</v>
      </c>
      <c r="C111" t="s">
        <v>156</v>
      </c>
      <c r="D111" t="s">
        <v>157</v>
      </c>
      <c r="E111" s="282">
        <v>30</v>
      </c>
      <c r="F111" s="282">
        <v>30</v>
      </c>
      <c r="G111" s="282">
        <v>30</v>
      </c>
      <c r="H111" s="282">
        <v>30</v>
      </c>
      <c r="I111" t="s">
        <v>108</v>
      </c>
    </row>
    <row r="112" spans="1:9" x14ac:dyDescent="0.25">
      <c r="A112" t="s">
        <v>104</v>
      </c>
      <c r="B112" t="s">
        <v>430</v>
      </c>
      <c r="C112" t="s">
        <v>164</v>
      </c>
      <c r="D112" t="s">
        <v>165</v>
      </c>
      <c r="E112" s="282">
        <v>45</v>
      </c>
      <c r="F112" s="282">
        <v>45</v>
      </c>
      <c r="G112" s="282">
        <v>45</v>
      </c>
      <c r="H112" s="282">
        <v>45</v>
      </c>
      <c r="I112" t="s">
        <v>108</v>
      </c>
    </row>
    <row r="113" spans="1:9" x14ac:dyDescent="0.25">
      <c r="A113" t="s">
        <v>104</v>
      </c>
      <c r="B113" t="s">
        <v>430</v>
      </c>
      <c r="C113" t="s">
        <v>166</v>
      </c>
      <c r="D113" t="s">
        <v>167</v>
      </c>
      <c r="E113" s="282">
        <v>14</v>
      </c>
      <c r="F113" s="282">
        <v>14</v>
      </c>
      <c r="G113" s="282">
        <v>14</v>
      </c>
      <c r="H113" s="282">
        <v>14</v>
      </c>
      <c r="I113" t="s">
        <v>108</v>
      </c>
    </row>
    <row r="114" spans="1:9" x14ac:dyDescent="0.25">
      <c r="A114" t="s">
        <v>104</v>
      </c>
      <c r="B114" t="s">
        <v>430</v>
      </c>
      <c r="C114" t="s">
        <v>170</v>
      </c>
      <c r="D114" t="s">
        <v>171</v>
      </c>
      <c r="E114" s="282">
        <v>42</v>
      </c>
      <c r="F114" s="282">
        <v>42</v>
      </c>
      <c r="G114" s="282">
        <v>42</v>
      </c>
      <c r="H114" s="282">
        <v>42</v>
      </c>
      <c r="I114" t="s">
        <v>108</v>
      </c>
    </row>
    <row r="115" spans="1:9" x14ac:dyDescent="0.25">
      <c r="A115" t="s">
        <v>104</v>
      </c>
      <c r="B115" t="s">
        <v>53</v>
      </c>
      <c r="C115" t="s">
        <v>170</v>
      </c>
      <c r="D115" t="s">
        <v>171</v>
      </c>
      <c r="E115" s="282">
        <v>1518</v>
      </c>
      <c r="F115" s="282">
        <v>1518</v>
      </c>
      <c r="G115" s="282">
        <v>1518</v>
      </c>
      <c r="H115" s="282">
        <v>1518</v>
      </c>
      <c r="I115" t="s">
        <v>108</v>
      </c>
    </row>
    <row r="116" spans="1:9" x14ac:dyDescent="0.25">
      <c r="A116" t="s">
        <v>104</v>
      </c>
      <c r="B116" t="s">
        <v>53</v>
      </c>
      <c r="C116" t="s">
        <v>393</v>
      </c>
      <c r="D116" t="s">
        <v>394</v>
      </c>
      <c r="E116" s="282">
        <v>0</v>
      </c>
      <c r="F116" s="282">
        <v>0</v>
      </c>
      <c r="G116" s="282">
        <v>0</v>
      </c>
      <c r="H116" s="282">
        <v>0</v>
      </c>
      <c r="I116" t="s">
        <v>108</v>
      </c>
    </row>
    <row r="117" spans="1:9" x14ac:dyDescent="0.25">
      <c r="A117" t="s">
        <v>104</v>
      </c>
      <c r="B117" t="s">
        <v>53</v>
      </c>
      <c r="C117" t="s">
        <v>184</v>
      </c>
      <c r="D117" t="s">
        <v>185</v>
      </c>
      <c r="E117" s="282">
        <v>0</v>
      </c>
      <c r="F117" s="282">
        <v>0</v>
      </c>
      <c r="G117" s="282">
        <v>0</v>
      </c>
      <c r="H117" s="282">
        <v>0</v>
      </c>
      <c r="I117" t="s">
        <v>186</v>
      </c>
    </row>
    <row r="118" spans="1:9" x14ac:dyDescent="0.25">
      <c r="A118" t="s">
        <v>104</v>
      </c>
      <c r="B118" t="s">
        <v>53</v>
      </c>
      <c r="C118" t="s">
        <v>187</v>
      </c>
      <c r="D118" t="s">
        <v>188</v>
      </c>
      <c r="E118" s="282">
        <v>232420</v>
      </c>
      <c r="F118" s="282">
        <v>232420</v>
      </c>
      <c r="G118" s="282">
        <v>232420</v>
      </c>
      <c r="H118" s="282">
        <v>232420</v>
      </c>
      <c r="I118" t="s">
        <v>186</v>
      </c>
    </row>
    <row r="119" spans="1:9" x14ac:dyDescent="0.25">
      <c r="A119" t="s">
        <v>104</v>
      </c>
      <c r="B119" t="s">
        <v>53</v>
      </c>
      <c r="C119" t="s">
        <v>219</v>
      </c>
      <c r="D119" t="s">
        <v>220</v>
      </c>
      <c r="E119" s="282">
        <v>8284</v>
      </c>
      <c r="F119" s="282">
        <v>9011</v>
      </c>
      <c r="G119" s="282">
        <v>9011</v>
      </c>
      <c r="H119" s="282">
        <v>9011</v>
      </c>
      <c r="I119" t="s">
        <v>186</v>
      </c>
    </row>
    <row r="120" spans="1:9" x14ac:dyDescent="0.25">
      <c r="A120" t="s">
        <v>104</v>
      </c>
      <c r="B120" t="s">
        <v>53</v>
      </c>
      <c r="C120" t="s">
        <v>211</v>
      </c>
      <c r="D120" t="s">
        <v>212</v>
      </c>
      <c r="E120" s="282">
        <v>0</v>
      </c>
      <c r="F120" s="282">
        <v>0</v>
      </c>
      <c r="G120" s="282">
        <v>0</v>
      </c>
      <c r="H120" s="282">
        <v>0</v>
      </c>
      <c r="I120" t="s">
        <v>213</v>
      </c>
    </row>
    <row r="121" spans="1:9" x14ac:dyDescent="0.25">
      <c r="A121" t="s">
        <v>104</v>
      </c>
      <c r="B121" t="s">
        <v>53</v>
      </c>
      <c r="C121" t="s">
        <v>433</v>
      </c>
      <c r="D121" t="s">
        <v>434</v>
      </c>
      <c r="E121" s="282">
        <v>141528</v>
      </c>
      <c r="F121" s="282">
        <v>147888</v>
      </c>
      <c r="G121" s="282">
        <v>147888</v>
      </c>
      <c r="H121" s="282">
        <v>147888</v>
      </c>
      <c r="I121" t="s">
        <v>356</v>
      </c>
    </row>
    <row r="122" spans="1:9" x14ac:dyDescent="0.25">
      <c r="A122" t="s">
        <v>104</v>
      </c>
      <c r="B122" t="s">
        <v>53</v>
      </c>
      <c r="C122" t="s">
        <v>435</v>
      </c>
      <c r="D122" t="s">
        <v>436</v>
      </c>
      <c r="E122" s="282">
        <v>22931</v>
      </c>
      <c r="F122" s="282">
        <v>36891</v>
      </c>
      <c r="G122" s="282">
        <v>36891</v>
      </c>
      <c r="H122" s="282">
        <v>36891</v>
      </c>
      <c r="I122" t="s">
        <v>356</v>
      </c>
    </row>
    <row r="123" spans="1:9" x14ac:dyDescent="0.25">
      <c r="A123" t="s">
        <v>104</v>
      </c>
      <c r="B123" t="s">
        <v>53</v>
      </c>
      <c r="C123" t="s">
        <v>437</v>
      </c>
      <c r="D123" t="s">
        <v>438</v>
      </c>
      <c r="E123" s="282">
        <v>62</v>
      </c>
      <c r="F123" s="282">
        <v>62</v>
      </c>
      <c r="G123" s="282">
        <v>62</v>
      </c>
      <c r="H123" s="282">
        <v>62</v>
      </c>
      <c r="I123" t="s">
        <v>356</v>
      </c>
    </row>
    <row r="124" spans="1:9" x14ac:dyDescent="0.25">
      <c r="A124" t="s">
        <v>104</v>
      </c>
      <c r="B124" t="s">
        <v>53</v>
      </c>
      <c r="C124" t="s">
        <v>221</v>
      </c>
      <c r="D124" t="s">
        <v>222</v>
      </c>
      <c r="E124" s="282">
        <v>731</v>
      </c>
      <c r="F124" s="282">
        <v>731</v>
      </c>
      <c r="G124" s="282">
        <v>731</v>
      </c>
      <c r="H124" s="282">
        <v>731</v>
      </c>
      <c r="I124" t="s">
        <v>439</v>
      </c>
    </row>
    <row r="125" spans="1:9" x14ac:dyDescent="0.25">
      <c r="A125" t="s">
        <v>104</v>
      </c>
      <c r="B125" t="s">
        <v>53</v>
      </c>
      <c r="C125" t="s">
        <v>440</v>
      </c>
      <c r="D125" t="s">
        <v>441</v>
      </c>
      <c r="E125" s="282">
        <v>5515</v>
      </c>
      <c r="F125" s="282">
        <v>5515</v>
      </c>
      <c r="G125" s="282">
        <v>5515</v>
      </c>
      <c r="H125" s="282">
        <v>5515</v>
      </c>
      <c r="I125" t="s">
        <v>356</v>
      </c>
    </row>
    <row r="126" spans="1:9" x14ac:dyDescent="0.25">
      <c r="A126" t="s">
        <v>104</v>
      </c>
      <c r="B126" t="s">
        <v>53</v>
      </c>
      <c r="C126" t="s">
        <v>223</v>
      </c>
      <c r="D126" t="s">
        <v>224</v>
      </c>
      <c r="E126" s="282">
        <v>2713</v>
      </c>
      <c r="F126" s="282">
        <v>2713</v>
      </c>
      <c r="G126" s="282">
        <v>2713</v>
      </c>
      <c r="H126" s="282">
        <v>2713</v>
      </c>
      <c r="I126" t="s">
        <v>442</v>
      </c>
    </row>
    <row r="127" spans="1:9" x14ac:dyDescent="0.25">
      <c r="A127" t="s">
        <v>104</v>
      </c>
      <c r="B127" t="s">
        <v>53</v>
      </c>
      <c r="C127" t="s">
        <v>225</v>
      </c>
      <c r="D127" t="s">
        <v>226</v>
      </c>
      <c r="E127" s="282">
        <v>11259</v>
      </c>
      <c r="F127" s="282">
        <v>11676</v>
      </c>
      <c r="G127" s="282">
        <v>11676</v>
      </c>
      <c r="H127" s="282">
        <v>11676</v>
      </c>
      <c r="I127" t="s">
        <v>356</v>
      </c>
    </row>
    <row r="128" spans="1:9" x14ac:dyDescent="0.25">
      <c r="A128" t="s">
        <v>104</v>
      </c>
      <c r="B128" t="s">
        <v>53</v>
      </c>
      <c r="C128" t="s">
        <v>443</v>
      </c>
      <c r="D128" t="s">
        <v>444</v>
      </c>
      <c r="E128" s="282">
        <v>7331</v>
      </c>
      <c r="F128" s="282">
        <v>7331</v>
      </c>
      <c r="G128" s="282">
        <v>7331</v>
      </c>
      <c r="H128" s="282">
        <v>7331</v>
      </c>
      <c r="I128" t="s">
        <v>356</v>
      </c>
    </row>
    <row r="129" spans="1:9" x14ac:dyDescent="0.25">
      <c r="A129" t="s">
        <v>104</v>
      </c>
      <c r="B129" t="s">
        <v>53</v>
      </c>
      <c r="C129" t="s">
        <v>227</v>
      </c>
      <c r="D129" t="s">
        <v>228</v>
      </c>
      <c r="E129" s="282">
        <v>12029</v>
      </c>
      <c r="F129" s="282">
        <v>12003</v>
      </c>
      <c r="G129" s="282">
        <v>12004</v>
      </c>
      <c r="H129" s="282">
        <v>12004</v>
      </c>
      <c r="I129" t="s">
        <v>116</v>
      </c>
    </row>
    <row r="130" spans="1:9" x14ac:dyDescent="0.25">
      <c r="A130" t="s">
        <v>104</v>
      </c>
      <c r="B130" t="s">
        <v>53</v>
      </c>
      <c r="C130" t="s">
        <v>229</v>
      </c>
      <c r="D130" t="s">
        <v>230</v>
      </c>
      <c r="E130" s="282">
        <v>4226</v>
      </c>
      <c r="F130" s="282">
        <v>4220</v>
      </c>
      <c r="G130" s="282">
        <v>4219</v>
      </c>
      <c r="H130" s="282">
        <v>4219</v>
      </c>
      <c r="I130" t="s">
        <v>116</v>
      </c>
    </row>
    <row r="131" spans="1:9" x14ac:dyDescent="0.25">
      <c r="A131" t="s">
        <v>104</v>
      </c>
      <c r="B131" t="s">
        <v>53</v>
      </c>
      <c r="C131" t="s">
        <v>231</v>
      </c>
      <c r="D131" t="s">
        <v>232</v>
      </c>
      <c r="E131" s="282">
        <v>525</v>
      </c>
      <c r="F131" s="282">
        <v>0</v>
      </c>
      <c r="G131" s="282">
        <v>0</v>
      </c>
      <c r="H131" s="282">
        <v>0</v>
      </c>
      <c r="I131" t="s">
        <v>213</v>
      </c>
    </row>
    <row r="132" spans="1:9" x14ac:dyDescent="0.25">
      <c r="A132" t="s">
        <v>104</v>
      </c>
      <c r="B132" t="s">
        <v>53</v>
      </c>
      <c r="C132" t="s">
        <v>428</v>
      </c>
      <c r="D132" t="s">
        <v>429</v>
      </c>
      <c r="E132" s="282">
        <v>11574</v>
      </c>
      <c r="F132" s="282">
        <v>0</v>
      </c>
      <c r="G132" s="282">
        <v>0</v>
      </c>
      <c r="H132" s="282">
        <v>0</v>
      </c>
      <c r="I132" t="s">
        <v>213</v>
      </c>
    </row>
    <row r="133" spans="1:9" x14ac:dyDescent="0.25">
      <c r="A133" t="s">
        <v>104</v>
      </c>
      <c r="B133" t="s">
        <v>53</v>
      </c>
      <c r="C133" t="s">
        <v>233</v>
      </c>
      <c r="D133" t="s">
        <v>234</v>
      </c>
      <c r="E133" s="282">
        <v>5997</v>
      </c>
      <c r="F133" s="282">
        <v>0</v>
      </c>
      <c r="G133" s="282">
        <v>0</v>
      </c>
      <c r="H133" s="282">
        <v>0</v>
      </c>
      <c r="I133" t="s">
        <v>213</v>
      </c>
    </row>
    <row r="134" spans="1:9" x14ac:dyDescent="0.25">
      <c r="A134" t="s">
        <v>104</v>
      </c>
      <c r="B134" t="s">
        <v>235</v>
      </c>
      <c r="C134" t="s">
        <v>147</v>
      </c>
      <c r="D134" t="s">
        <v>148</v>
      </c>
      <c r="E134" s="282">
        <v>0</v>
      </c>
      <c r="F134" s="282">
        <v>0</v>
      </c>
      <c r="G134" s="282">
        <v>0</v>
      </c>
      <c r="H134" s="282">
        <v>0</v>
      </c>
      <c r="I134" t="s">
        <v>108</v>
      </c>
    </row>
    <row r="135" spans="1:9" x14ac:dyDescent="0.25">
      <c r="A135" t="s">
        <v>104</v>
      </c>
      <c r="B135" t="s">
        <v>235</v>
      </c>
      <c r="C135" t="s">
        <v>149</v>
      </c>
      <c r="D135" t="s">
        <v>150</v>
      </c>
      <c r="E135" s="282">
        <v>0</v>
      </c>
      <c r="F135" s="282">
        <v>0</v>
      </c>
      <c r="G135" s="282">
        <v>0</v>
      </c>
      <c r="H135" s="282">
        <v>0</v>
      </c>
      <c r="I135" t="s">
        <v>108</v>
      </c>
    </row>
    <row r="136" spans="1:9" x14ac:dyDescent="0.25">
      <c r="A136" t="s">
        <v>104</v>
      </c>
      <c r="B136" t="s">
        <v>235</v>
      </c>
      <c r="C136" t="s">
        <v>151</v>
      </c>
      <c r="D136" t="s">
        <v>152</v>
      </c>
      <c r="E136" s="282">
        <v>0</v>
      </c>
      <c r="F136" s="282">
        <v>0</v>
      </c>
      <c r="G136" s="282">
        <v>0</v>
      </c>
      <c r="H136" s="282">
        <v>0</v>
      </c>
      <c r="I136" t="s">
        <v>108</v>
      </c>
    </row>
    <row r="137" spans="1:9" x14ac:dyDescent="0.25">
      <c r="A137" t="s">
        <v>104</v>
      </c>
      <c r="B137" t="s">
        <v>235</v>
      </c>
      <c r="C137" t="s">
        <v>153</v>
      </c>
      <c r="D137" t="s">
        <v>154</v>
      </c>
      <c r="E137" s="282">
        <v>352</v>
      </c>
      <c r="F137" s="282">
        <v>352</v>
      </c>
      <c r="G137" s="282">
        <v>352</v>
      </c>
      <c r="H137" s="282">
        <v>352</v>
      </c>
      <c r="I137" t="s">
        <v>108</v>
      </c>
    </row>
    <row r="138" spans="1:9" x14ac:dyDescent="0.25">
      <c r="A138" t="s">
        <v>104</v>
      </c>
      <c r="B138" t="s">
        <v>235</v>
      </c>
      <c r="C138" t="s">
        <v>156</v>
      </c>
      <c r="D138" t="s">
        <v>157</v>
      </c>
      <c r="E138" s="282">
        <v>1487</v>
      </c>
      <c r="F138" s="282">
        <v>1487</v>
      </c>
      <c r="G138" s="282">
        <v>1487</v>
      </c>
      <c r="H138" s="282">
        <v>1487</v>
      </c>
      <c r="I138" t="s">
        <v>108</v>
      </c>
    </row>
    <row r="139" spans="1:9" x14ac:dyDescent="0.25">
      <c r="A139" t="s">
        <v>104</v>
      </c>
      <c r="B139" t="s">
        <v>235</v>
      </c>
      <c r="C139" t="s">
        <v>158</v>
      </c>
      <c r="D139" t="s">
        <v>159</v>
      </c>
      <c r="E139" s="282">
        <v>247</v>
      </c>
      <c r="F139" s="282">
        <v>247</v>
      </c>
      <c r="G139" s="282">
        <v>247</v>
      </c>
      <c r="H139" s="282">
        <v>247</v>
      </c>
      <c r="I139" t="s">
        <v>108</v>
      </c>
    </row>
    <row r="140" spans="1:9" x14ac:dyDescent="0.25">
      <c r="A140" t="s">
        <v>104</v>
      </c>
      <c r="B140" t="s">
        <v>235</v>
      </c>
      <c r="C140" t="s">
        <v>166</v>
      </c>
      <c r="D140" t="s">
        <v>167</v>
      </c>
      <c r="E140" s="282">
        <v>358</v>
      </c>
      <c r="F140" s="282">
        <v>358</v>
      </c>
      <c r="G140" s="282">
        <v>358</v>
      </c>
      <c r="H140" s="282">
        <v>358</v>
      </c>
      <c r="I140" t="s">
        <v>108</v>
      </c>
    </row>
    <row r="141" spans="1:9" x14ac:dyDescent="0.25">
      <c r="A141" t="s">
        <v>104</v>
      </c>
      <c r="B141" t="s">
        <v>235</v>
      </c>
      <c r="C141" t="s">
        <v>209</v>
      </c>
      <c r="D141" t="s">
        <v>210</v>
      </c>
      <c r="E141" s="282">
        <v>3380</v>
      </c>
      <c r="F141" s="282">
        <v>3380</v>
      </c>
      <c r="G141" s="282">
        <v>3380</v>
      </c>
      <c r="H141" s="282">
        <v>3380</v>
      </c>
      <c r="I141" t="s">
        <v>186</v>
      </c>
    </row>
    <row r="142" spans="1:9" x14ac:dyDescent="0.25">
      <c r="A142" t="s">
        <v>104</v>
      </c>
      <c r="B142" t="s">
        <v>235</v>
      </c>
      <c r="C142" t="s">
        <v>445</v>
      </c>
      <c r="D142" t="s">
        <v>446</v>
      </c>
      <c r="E142" s="282">
        <v>0</v>
      </c>
      <c r="F142" s="282">
        <v>0</v>
      </c>
      <c r="G142" s="282">
        <v>0</v>
      </c>
      <c r="H142" s="282">
        <v>0</v>
      </c>
      <c r="I142" t="s">
        <v>108</v>
      </c>
    </row>
    <row r="143" spans="1:9" x14ac:dyDescent="0.25">
      <c r="A143" t="s">
        <v>104</v>
      </c>
      <c r="B143" t="s">
        <v>447</v>
      </c>
      <c r="C143" t="s">
        <v>448</v>
      </c>
      <c r="D143" t="s">
        <v>449</v>
      </c>
      <c r="E143" s="282">
        <v>11644</v>
      </c>
      <c r="F143" s="282">
        <v>11644</v>
      </c>
      <c r="G143" s="282">
        <v>11644</v>
      </c>
      <c r="H143" s="282">
        <v>11644</v>
      </c>
      <c r="I143" t="s">
        <v>450</v>
      </c>
    </row>
    <row r="144" spans="1:9" x14ac:dyDescent="0.25">
      <c r="A144" t="s">
        <v>104</v>
      </c>
      <c r="B144" t="s">
        <v>447</v>
      </c>
      <c r="C144" t="s">
        <v>451</v>
      </c>
      <c r="D144" t="s">
        <v>452</v>
      </c>
      <c r="E144" s="282">
        <v>73734</v>
      </c>
      <c r="F144" s="282">
        <v>73734</v>
      </c>
      <c r="G144" s="282">
        <v>73734</v>
      </c>
      <c r="H144" s="282">
        <v>73734</v>
      </c>
      <c r="I144" t="s">
        <v>453</v>
      </c>
    </row>
    <row r="145" spans="1:9" x14ac:dyDescent="0.25">
      <c r="A145" t="s">
        <v>104</v>
      </c>
      <c r="B145" t="s">
        <v>447</v>
      </c>
      <c r="C145" t="s">
        <v>454</v>
      </c>
      <c r="D145" t="s">
        <v>455</v>
      </c>
      <c r="E145" s="282">
        <v>29807</v>
      </c>
      <c r="F145" s="282">
        <v>29807</v>
      </c>
      <c r="G145" s="282">
        <v>29807</v>
      </c>
      <c r="H145" s="282">
        <v>29807</v>
      </c>
      <c r="I145" t="s">
        <v>456</v>
      </c>
    </row>
    <row r="146" spans="1:9" x14ac:dyDescent="0.25">
      <c r="A146" t="s">
        <v>104</v>
      </c>
      <c r="B146" t="s">
        <v>447</v>
      </c>
      <c r="C146" t="s">
        <v>457</v>
      </c>
      <c r="D146" t="s">
        <v>458</v>
      </c>
      <c r="E146" s="282">
        <v>19161</v>
      </c>
      <c r="F146" s="282">
        <v>19161</v>
      </c>
      <c r="G146" s="282">
        <v>19161</v>
      </c>
      <c r="H146" s="282">
        <v>19161</v>
      </c>
      <c r="I146" t="s">
        <v>456</v>
      </c>
    </row>
    <row r="147" spans="1:9" x14ac:dyDescent="0.25">
      <c r="A147" t="s">
        <v>104</v>
      </c>
      <c r="B147" t="s">
        <v>236</v>
      </c>
      <c r="C147" t="s">
        <v>237</v>
      </c>
      <c r="D147" t="s">
        <v>238</v>
      </c>
      <c r="E147" s="282">
        <v>660</v>
      </c>
      <c r="F147" s="282">
        <v>660</v>
      </c>
      <c r="G147" s="282">
        <v>660</v>
      </c>
      <c r="H147" s="282">
        <v>660</v>
      </c>
      <c r="I147" t="s">
        <v>238</v>
      </c>
    </row>
    <row r="148" spans="1:9" x14ac:dyDescent="0.25">
      <c r="A148" t="s">
        <v>104</v>
      </c>
      <c r="B148" t="s">
        <v>239</v>
      </c>
      <c r="C148" t="s">
        <v>240</v>
      </c>
      <c r="D148" t="s">
        <v>241</v>
      </c>
      <c r="E148" s="282">
        <v>0</v>
      </c>
      <c r="F148" s="282">
        <v>0</v>
      </c>
      <c r="G148" s="282">
        <v>0</v>
      </c>
      <c r="H148" s="282">
        <v>0</v>
      </c>
      <c r="I148" t="s">
        <v>108</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DD3B7-E73A-47AE-AA07-2C5CC5EFC981}">
  <dimension ref="A1:AB12"/>
  <sheetViews>
    <sheetView workbookViewId="0">
      <selection activeCell="B10" sqref="B10"/>
    </sheetView>
  </sheetViews>
  <sheetFormatPr defaultRowHeight="15" x14ac:dyDescent="0.25"/>
  <cols>
    <col min="2" max="2" width="8" bestFit="1" customWidth="1"/>
    <col min="3" max="3" width="20" bestFit="1" customWidth="1"/>
    <col min="4" max="4" width="15" bestFit="1" customWidth="1"/>
    <col min="5" max="5" width="35" customWidth="1"/>
    <col min="6" max="8" width="10" bestFit="1" customWidth="1"/>
    <col min="9" max="9" width="5" bestFit="1" customWidth="1"/>
    <col min="10" max="18" width="8" bestFit="1" customWidth="1"/>
    <col min="19" max="22" width="12" bestFit="1" customWidth="1"/>
    <col min="23" max="23" width="19.7109375" bestFit="1" customWidth="1"/>
    <col min="24" max="24" width="14.5703125" bestFit="1" customWidth="1"/>
    <col min="25" max="25" width="10" bestFit="1" customWidth="1"/>
    <col min="26" max="26" width="18.140625" bestFit="1" customWidth="1"/>
    <col min="27" max="28" width="11.42578125" customWidth="1"/>
  </cols>
  <sheetData>
    <row r="1" spans="1:28" x14ac:dyDescent="0.25">
      <c r="A1" s="323" t="s">
        <v>242</v>
      </c>
      <c r="B1" s="323"/>
      <c r="C1" s="323"/>
      <c r="D1" s="323"/>
      <c r="E1" s="323"/>
      <c r="F1" s="323"/>
      <c r="G1" s="323"/>
      <c r="H1" s="323"/>
      <c r="I1" s="323"/>
      <c r="J1" s="323"/>
      <c r="K1" s="323"/>
      <c r="L1" s="323"/>
      <c r="M1" s="323"/>
      <c r="N1" s="323"/>
      <c r="O1" s="323"/>
      <c r="P1" s="323"/>
      <c r="Q1" s="323"/>
      <c r="R1" s="323"/>
      <c r="S1" s="323"/>
      <c r="T1" s="323"/>
      <c r="U1" s="323"/>
      <c r="V1" s="323"/>
    </row>
    <row r="2" spans="1:28" x14ac:dyDescent="0.25">
      <c r="A2" s="323" t="s">
        <v>243</v>
      </c>
      <c r="B2" s="323"/>
      <c r="C2" s="323"/>
      <c r="D2" s="323"/>
      <c r="E2" s="323"/>
      <c r="F2" s="323"/>
      <c r="G2" s="323"/>
      <c r="H2" s="323"/>
      <c r="I2" s="323"/>
      <c r="J2" s="323"/>
      <c r="K2" s="323"/>
      <c r="L2" s="323"/>
      <c r="M2" s="323"/>
      <c r="N2" s="323"/>
      <c r="O2" s="323"/>
      <c r="P2" s="323"/>
      <c r="Q2" s="323"/>
      <c r="R2" s="323"/>
      <c r="S2" s="323"/>
      <c r="T2" s="323"/>
      <c r="U2" s="323"/>
      <c r="V2" s="323"/>
    </row>
    <row r="3" spans="1:28" x14ac:dyDescent="0.25">
      <c r="A3" s="323" t="s">
        <v>459</v>
      </c>
      <c r="B3" s="323"/>
      <c r="C3" s="323"/>
      <c r="D3" s="323"/>
      <c r="E3" s="323"/>
      <c r="F3" s="323"/>
      <c r="G3" s="323"/>
      <c r="H3" s="323"/>
      <c r="I3" s="323"/>
      <c r="J3" s="323"/>
      <c r="K3" s="323"/>
      <c r="L3" s="323"/>
      <c r="M3" s="323"/>
      <c r="N3" s="323"/>
      <c r="O3" s="323"/>
      <c r="P3" s="323"/>
      <c r="Q3" s="323"/>
      <c r="R3" s="323"/>
      <c r="S3" s="323"/>
      <c r="T3" s="323"/>
      <c r="U3" s="323"/>
      <c r="V3" s="323"/>
    </row>
    <row r="4" spans="1:28" x14ac:dyDescent="0.25">
      <c r="A4" s="323" t="s">
        <v>460</v>
      </c>
      <c r="B4" s="323"/>
      <c r="C4" s="323"/>
      <c r="D4" s="323"/>
      <c r="E4" s="323"/>
      <c r="F4" s="323"/>
      <c r="G4" s="323"/>
      <c r="H4" s="323"/>
      <c r="I4" s="323"/>
      <c r="J4" s="323"/>
      <c r="K4" s="323"/>
      <c r="L4" s="323"/>
      <c r="M4" s="323"/>
      <c r="N4" s="323"/>
      <c r="O4" s="323"/>
      <c r="P4" s="323"/>
      <c r="Q4" s="323"/>
      <c r="R4" s="323"/>
      <c r="S4" s="323"/>
      <c r="T4" s="323"/>
      <c r="U4" s="323"/>
      <c r="V4" s="323"/>
    </row>
    <row r="5" spans="1:28" x14ac:dyDescent="0.25">
      <c r="A5" s="323" t="s">
        <v>244</v>
      </c>
      <c r="B5" s="323"/>
      <c r="C5" s="323"/>
      <c r="D5" s="323"/>
      <c r="E5" s="323"/>
      <c r="F5" s="323"/>
      <c r="G5" s="323"/>
      <c r="H5" s="323"/>
      <c r="I5" s="323"/>
      <c r="J5" s="323"/>
      <c r="K5" s="323"/>
      <c r="L5" s="323"/>
      <c r="M5" s="323"/>
      <c r="N5" s="323"/>
      <c r="O5" s="323"/>
      <c r="P5" s="323"/>
      <c r="Q5" s="323"/>
      <c r="R5" s="323"/>
      <c r="S5" s="323"/>
      <c r="T5" s="323"/>
      <c r="U5" s="323"/>
      <c r="V5" s="323"/>
    </row>
    <row r="7" spans="1:28" x14ac:dyDescent="0.25">
      <c r="A7" s="323" t="s">
        <v>245</v>
      </c>
      <c r="B7" s="323"/>
      <c r="C7" s="323"/>
      <c r="D7" s="323"/>
      <c r="E7" s="323"/>
      <c r="F7" s="323"/>
      <c r="G7" s="323"/>
      <c r="H7" s="323"/>
      <c r="I7" s="323"/>
      <c r="J7" s="323"/>
      <c r="K7" s="323"/>
      <c r="L7" s="323"/>
      <c r="M7" s="323"/>
      <c r="N7" s="323"/>
      <c r="O7" s="323"/>
      <c r="P7" s="323"/>
      <c r="Q7" s="323"/>
      <c r="R7" s="323"/>
      <c r="S7" s="323"/>
      <c r="T7" s="323"/>
      <c r="U7" s="323"/>
      <c r="V7" s="323"/>
    </row>
    <row r="8" spans="1:28" x14ac:dyDescent="0.25">
      <c r="W8" s="38" t="s">
        <v>246</v>
      </c>
      <c r="AA8" s="247" t="s">
        <v>247</v>
      </c>
      <c r="AB8" s="247" t="s">
        <v>247</v>
      </c>
    </row>
    <row r="9" spans="1:28" ht="39" x14ac:dyDescent="0.25">
      <c r="A9" s="323" t="s">
        <v>248</v>
      </c>
      <c r="B9" s="323" t="s">
        <v>249</v>
      </c>
      <c r="C9" s="323" t="s">
        <v>250</v>
      </c>
      <c r="D9" s="323" t="s">
        <v>251</v>
      </c>
      <c r="E9" s="323" t="s">
        <v>252</v>
      </c>
      <c r="F9" s="323" t="s">
        <v>253</v>
      </c>
      <c r="G9" s="323" t="s">
        <v>254</v>
      </c>
      <c r="H9" s="323" t="s">
        <v>255</v>
      </c>
      <c r="I9" s="323" t="s">
        <v>256</v>
      </c>
      <c r="J9" s="323" t="s">
        <v>257</v>
      </c>
      <c r="K9" s="323" t="s">
        <v>258</v>
      </c>
      <c r="L9" s="323" t="s">
        <v>259</v>
      </c>
      <c r="M9" s="323" t="s">
        <v>260</v>
      </c>
      <c r="N9" s="323" t="s">
        <v>261</v>
      </c>
      <c r="O9" s="323" t="s">
        <v>262</v>
      </c>
      <c r="P9" s="323" t="s">
        <v>263</v>
      </c>
      <c r="Q9" s="323" t="s">
        <v>264</v>
      </c>
      <c r="R9" s="323" t="s">
        <v>265</v>
      </c>
      <c r="S9" s="323" t="s">
        <v>266</v>
      </c>
      <c r="T9" s="323" t="s">
        <v>267</v>
      </c>
      <c r="U9" s="323" t="s">
        <v>268</v>
      </c>
      <c r="V9" s="323" t="s">
        <v>269</v>
      </c>
      <c r="W9" s="114" t="s">
        <v>270</v>
      </c>
      <c r="X9" s="114" t="s">
        <v>271</v>
      </c>
      <c r="Y9" s="114" t="s">
        <v>272</v>
      </c>
      <c r="Z9" s="114" t="s">
        <v>273</v>
      </c>
      <c r="AA9" s="68" t="s">
        <v>274</v>
      </c>
      <c r="AB9" s="67" t="s">
        <v>275</v>
      </c>
    </row>
    <row r="10" spans="1:28" x14ac:dyDescent="0.25">
      <c r="A10" s="323" t="s">
        <v>461</v>
      </c>
      <c r="B10" s="323" t="s">
        <v>462</v>
      </c>
      <c r="C10" s="323" t="s">
        <v>463</v>
      </c>
      <c r="D10" s="323" t="s">
        <v>276</v>
      </c>
      <c r="E10" s="323" t="s">
        <v>464</v>
      </c>
      <c r="F10" s="323" t="s">
        <v>465</v>
      </c>
      <c r="G10" s="323" t="s">
        <v>466</v>
      </c>
      <c r="H10" s="323" t="s">
        <v>467</v>
      </c>
      <c r="I10" s="323" t="s">
        <v>277</v>
      </c>
      <c r="J10" s="323" t="s">
        <v>216</v>
      </c>
      <c r="K10" s="323" t="s">
        <v>468</v>
      </c>
      <c r="L10" s="323" t="s">
        <v>469</v>
      </c>
      <c r="M10" s="323" t="s">
        <v>278</v>
      </c>
      <c r="N10" s="324">
        <v>0</v>
      </c>
      <c r="O10" s="324">
        <v>0</v>
      </c>
      <c r="P10" s="324">
        <v>1</v>
      </c>
      <c r="Q10" s="324">
        <v>1</v>
      </c>
      <c r="R10" s="323" t="s">
        <v>279</v>
      </c>
      <c r="S10" s="325">
        <v>68359</v>
      </c>
      <c r="T10" s="325">
        <v>24440</v>
      </c>
      <c r="U10" s="325">
        <v>94585</v>
      </c>
      <c r="V10" s="325">
        <v>31641</v>
      </c>
      <c r="W10" t="s">
        <v>87</v>
      </c>
      <c r="X10" t="s">
        <v>80</v>
      </c>
      <c r="Y10" t="s">
        <v>76</v>
      </c>
      <c r="Z10" t="s">
        <v>76</v>
      </c>
      <c r="AA10">
        <f>IF(YEAR($K10)=YEAR(Input!$B$4),ROUND((Input!$B$5-$K10)/30.4,0),0)</f>
        <v>9</v>
      </c>
      <c r="AB10">
        <f>IF(AA10&gt;0,12,ROUND((Input!$B$7-$K10)/30.4,0))</f>
        <v>12</v>
      </c>
    </row>
    <row r="11" spans="1:28" x14ac:dyDescent="0.25">
      <c r="A11" s="323" t="s">
        <v>461</v>
      </c>
      <c r="B11" s="323" t="s">
        <v>462</v>
      </c>
      <c r="C11" s="323" t="s">
        <v>463</v>
      </c>
      <c r="D11" s="323" t="s">
        <v>276</v>
      </c>
      <c r="E11" s="323" t="s">
        <v>470</v>
      </c>
      <c r="F11" s="323" t="s">
        <v>471</v>
      </c>
      <c r="G11" s="323" t="s">
        <v>472</v>
      </c>
      <c r="H11" s="323" t="s">
        <v>473</v>
      </c>
      <c r="I11" s="323" t="s">
        <v>277</v>
      </c>
      <c r="J11" s="323" t="s">
        <v>216</v>
      </c>
      <c r="K11" s="323" t="s">
        <v>468</v>
      </c>
      <c r="L11" s="323" t="s">
        <v>469</v>
      </c>
      <c r="M11" s="323" t="s">
        <v>278</v>
      </c>
      <c r="N11" s="324">
        <v>0</v>
      </c>
      <c r="O11" s="324">
        <v>0</v>
      </c>
      <c r="P11" s="324">
        <v>1</v>
      </c>
      <c r="Q11" s="324">
        <v>1</v>
      </c>
      <c r="R11" s="323" t="s">
        <v>279</v>
      </c>
      <c r="S11" s="325">
        <v>57236</v>
      </c>
      <c r="T11" s="325">
        <v>21835</v>
      </c>
      <c r="U11" s="325">
        <v>79183</v>
      </c>
      <c r="V11" s="325">
        <v>28233</v>
      </c>
      <c r="W11" t="s">
        <v>85</v>
      </c>
      <c r="X11" t="s">
        <v>80</v>
      </c>
      <c r="Y11" t="s">
        <v>79</v>
      </c>
      <c r="Z11" t="s">
        <v>76</v>
      </c>
      <c r="AA11">
        <f>IF(YEAR($K11)=YEAR(Input!$B$4),ROUND((Input!$B$5-$K11)/30.4,0),0)</f>
        <v>9</v>
      </c>
      <c r="AB11">
        <f>IF(AA11&gt;0,12,ROUND((Input!$B$7-$K11)/30.4,0))</f>
        <v>12</v>
      </c>
    </row>
    <row r="12" spans="1:28" x14ac:dyDescent="0.25">
      <c r="N12" s="281"/>
      <c r="O12" s="281"/>
      <c r="P12" s="281"/>
      <c r="Q12" s="281"/>
      <c r="S12" s="282"/>
      <c r="T12" s="282"/>
      <c r="U12" s="282"/>
      <c r="V12" s="282"/>
    </row>
  </sheetData>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25EF563A-13D0-4C21-A62B-4C3C620B524A}">
          <x14:formula1>
            <xm:f>Input!$C$54:$C$57</xm:f>
          </x14:formula1>
          <xm:sqref>W10:W15</xm:sqref>
        </x14:dataValidation>
        <x14:dataValidation type="list" allowBlank="1" showInputMessage="1" showErrorMessage="1" xr:uid="{173AC36C-F8CE-402D-B4CD-C9B81D6C7610}">
          <x14:formula1>
            <xm:f>Input!$B$46:$B$47</xm:f>
          </x14:formula1>
          <xm:sqref>X10:X15</xm:sqref>
        </x14:dataValidation>
        <x14:dataValidation type="list" allowBlank="1" showInputMessage="1" showErrorMessage="1" xr:uid="{29A1CF99-E3D6-48B6-9CC8-303B85C325B4}">
          <x14:formula1>
            <xm:f>Input!$A$46:$A$47</xm:f>
          </x14:formula1>
          <xm:sqref>Y10:Z15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30511-98E5-4037-AFD0-28BB07EB51C6}">
  <sheetPr>
    <tabColor rgb="FF00B050"/>
    <pageSetUpPr fitToPage="1"/>
  </sheetPr>
  <dimension ref="A1:F20"/>
  <sheetViews>
    <sheetView workbookViewId="0">
      <selection activeCell="D6" sqref="D6"/>
    </sheetView>
  </sheetViews>
  <sheetFormatPr defaultRowHeight="15" x14ac:dyDescent="0.25"/>
  <cols>
    <col min="1" max="1" width="65.7109375" bestFit="1" customWidth="1"/>
    <col min="2" max="2" width="5" bestFit="1" customWidth="1"/>
    <col min="3" max="3" width="12.28515625" style="316" bestFit="1" customWidth="1"/>
    <col min="4" max="4" width="11.28515625" style="316" bestFit="1" customWidth="1"/>
    <col min="5" max="5" width="64.28515625" customWidth="1"/>
    <col min="6" max="6" width="15.42578125" bestFit="1" customWidth="1"/>
  </cols>
  <sheetData>
    <row r="1" spans="1:6" x14ac:dyDescent="0.25">
      <c r="A1" s="38" t="s">
        <v>280</v>
      </c>
    </row>
    <row r="2" spans="1:6" x14ac:dyDescent="0.25">
      <c r="A2" s="38" t="s">
        <v>482</v>
      </c>
    </row>
    <row r="4" spans="1:6" x14ac:dyDescent="0.25">
      <c r="F4" s="170"/>
    </row>
    <row r="5" spans="1:6" s="171" customFormat="1" ht="15.75" thickBot="1" x14ac:dyDescent="0.3">
      <c r="A5" s="319" t="s">
        <v>281</v>
      </c>
      <c r="B5" s="319" t="s">
        <v>98</v>
      </c>
      <c r="C5" s="320" t="s">
        <v>282</v>
      </c>
      <c r="D5" s="320" t="s">
        <v>283</v>
      </c>
      <c r="E5" s="319" t="s">
        <v>284</v>
      </c>
    </row>
    <row r="6" spans="1:6" x14ac:dyDescent="0.25">
      <c r="A6" t="s">
        <v>488</v>
      </c>
      <c r="B6">
        <v>7073</v>
      </c>
      <c r="E6" s="177"/>
    </row>
    <row r="7" spans="1:6" x14ac:dyDescent="0.25">
      <c r="E7" s="177"/>
    </row>
    <row r="8" spans="1:6" x14ac:dyDescent="0.25">
      <c r="E8" s="177"/>
    </row>
    <row r="9" spans="1:6" x14ac:dyDescent="0.25">
      <c r="E9" s="177"/>
    </row>
    <row r="11" spans="1:6" ht="15.75" thickBot="1" x14ac:dyDescent="0.3">
      <c r="A11" t="s">
        <v>489</v>
      </c>
      <c r="C11" s="317">
        <f>SUM(C6:C10)</f>
        <v>0</v>
      </c>
      <c r="D11" s="317">
        <f>SUM(D6:D10)</f>
        <v>0</v>
      </c>
    </row>
    <row r="14" spans="1:6" ht="15.75" thickBot="1" x14ac:dyDescent="0.3">
      <c r="A14" s="321" t="s">
        <v>285</v>
      </c>
      <c r="B14" s="321" t="s">
        <v>98</v>
      </c>
      <c r="C14" s="322" t="s">
        <v>282</v>
      </c>
      <c r="D14" s="322" t="s">
        <v>283</v>
      </c>
      <c r="E14" s="321" t="s">
        <v>284</v>
      </c>
    </row>
    <row r="15" spans="1:6" x14ac:dyDescent="0.25">
      <c r="A15" t="s">
        <v>490</v>
      </c>
      <c r="B15">
        <v>7771</v>
      </c>
    </row>
    <row r="20" spans="1:4" ht="15.75" thickBot="1" x14ac:dyDescent="0.3">
      <c r="A20" t="s">
        <v>286</v>
      </c>
      <c r="C20" s="317">
        <f>SUM(C15:C19)</f>
        <v>0</v>
      </c>
      <c r="D20" s="317">
        <f>SUM(D15:D19)</f>
        <v>0</v>
      </c>
    </row>
  </sheetData>
  <pageMargins left="0.7" right="0.7" top="0.75" bottom="0.75" header="0.3" footer="0.3"/>
  <pageSetup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L33"/>
  <sheetViews>
    <sheetView workbookViewId="0">
      <selection activeCell="E15" sqref="E15"/>
    </sheetView>
  </sheetViews>
  <sheetFormatPr defaultColWidth="9.140625" defaultRowHeight="15" x14ac:dyDescent="0.25"/>
  <cols>
    <col min="1" max="1" width="30.5703125" style="3" customWidth="1"/>
    <col min="2" max="2" width="19.5703125" style="3" customWidth="1"/>
    <col min="3" max="3" width="49.7109375" style="3" customWidth="1"/>
    <col min="4" max="4" width="6" style="3" customWidth="1"/>
    <col min="5" max="5" width="12.28515625" style="3" customWidth="1"/>
    <col min="6" max="6" width="11.85546875" style="3" customWidth="1"/>
    <col min="7" max="7" width="9.140625" style="3"/>
    <col min="8" max="8" width="25.5703125" style="3" bestFit="1" customWidth="1"/>
    <col min="9" max="9" width="9.5703125" style="3" bestFit="1" customWidth="1"/>
    <col min="10" max="16384" width="9.140625" style="3"/>
  </cols>
  <sheetData>
    <row r="1" spans="1:12" x14ac:dyDescent="0.25">
      <c r="A1" s="4" t="s">
        <v>287</v>
      </c>
      <c r="B1" s="339" t="s">
        <v>474</v>
      </c>
      <c r="C1" s="339"/>
      <c r="D1" s="19"/>
      <c r="E1" s="19"/>
      <c r="G1" s="19"/>
      <c r="H1" s="61" t="s">
        <v>288</v>
      </c>
    </row>
    <row r="2" spans="1:12" x14ac:dyDescent="0.25">
      <c r="A2" s="4" t="s">
        <v>289</v>
      </c>
      <c r="B2" s="340" t="s">
        <v>475</v>
      </c>
      <c r="C2" s="340"/>
      <c r="E2" s="20"/>
      <c r="G2" s="21"/>
      <c r="H2" s="44" t="s">
        <v>290</v>
      </c>
    </row>
    <row r="3" spans="1:12" s="23" customFormat="1" ht="15" customHeight="1" x14ac:dyDescent="0.2">
      <c r="A3" s="1" t="s">
        <v>291</v>
      </c>
      <c r="B3" s="340">
        <v>1340</v>
      </c>
      <c r="C3" s="340"/>
      <c r="D3" s="20"/>
      <c r="E3" s="22"/>
      <c r="H3" s="152" t="s">
        <v>292</v>
      </c>
      <c r="J3" s="24"/>
    </row>
    <row r="4" spans="1:12" x14ac:dyDescent="0.25">
      <c r="A4" s="4" t="s">
        <v>293</v>
      </c>
      <c r="B4" s="340" t="s">
        <v>475</v>
      </c>
      <c r="C4" s="340"/>
      <c r="E4" s="20"/>
      <c r="F4" s="20"/>
      <c r="G4" s="21"/>
    </row>
    <row r="5" spans="1:12" x14ac:dyDescent="0.25">
      <c r="A5" s="25"/>
      <c r="B5" s="20"/>
      <c r="E5" s="20"/>
      <c r="F5" s="20"/>
      <c r="G5" s="21"/>
    </row>
    <row r="6" spans="1:12" ht="15.75" thickBot="1" x14ac:dyDescent="0.3">
      <c r="B6"/>
      <c r="E6" s="20"/>
      <c r="F6" s="20"/>
      <c r="G6" s="21"/>
    </row>
    <row r="7" spans="1:12" ht="28.5" customHeight="1" thickBot="1" x14ac:dyDescent="0.3">
      <c r="A7" s="152" t="s">
        <v>294</v>
      </c>
      <c r="B7" s="315">
        <f>SUM(start:finish!B8)</f>
        <v>2</v>
      </c>
      <c r="C7" s="341" t="s">
        <v>295</v>
      </c>
      <c r="D7" s="342"/>
      <c r="E7" s="39" t="str">
        <f>"SFY "&amp;Input!$B$11</f>
        <v>SFY 2026</v>
      </c>
      <c r="F7" s="40" t="str">
        <f>"SFY "&amp;Input!$B$12</f>
        <v>SFY 2027</v>
      </c>
      <c r="G7" s="23"/>
    </row>
    <row r="8" spans="1:12" x14ac:dyDescent="0.25">
      <c r="A8" s="44" t="s">
        <v>296</v>
      </c>
      <c r="B8" s="313">
        <v>39</v>
      </c>
      <c r="C8" s="343" t="s">
        <v>297</v>
      </c>
      <c r="D8" s="344"/>
      <c r="E8" s="5">
        <f>SUM(start:finish!C13)</f>
        <v>171870</v>
      </c>
      <c r="F8" s="6">
        <f>SUM(start:finish!E13)</f>
        <v>233642</v>
      </c>
      <c r="G8" s="23"/>
      <c r="I8"/>
      <c r="J8"/>
      <c r="K8" s="174"/>
      <c r="L8" s="174"/>
    </row>
    <row r="9" spans="1:12" x14ac:dyDescent="0.25">
      <c r="A9" s="44" t="s">
        <v>298</v>
      </c>
      <c r="B9" s="313">
        <v>2</v>
      </c>
      <c r="C9" s="349" t="s">
        <v>299</v>
      </c>
      <c r="D9" s="350"/>
      <c r="E9" s="7">
        <f>SUM(start:finish!C14)</f>
        <v>2110.5</v>
      </c>
      <c r="F9" s="8">
        <f>SUM(start:finish!E14)</f>
        <v>2814</v>
      </c>
      <c r="G9" s="23"/>
      <c r="I9"/>
      <c r="J9"/>
      <c r="K9" s="174"/>
      <c r="L9" s="174"/>
    </row>
    <row r="10" spans="1:12" x14ac:dyDescent="0.25">
      <c r="B10" s="314"/>
      <c r="C10" s="349" t="s">
        <v>300</v>
      </c>
      <c r="D10" s="350"/>
      <c r="E10" s="7">
        <f>SUM(start:finish!C15)</f>
        <v>5833.2999999999993</v>
      </c>
      <c r="F10" s="8">
        <f>SUM(start:finish!E15)</f>
        <v>7415.66</v>
      </c>
      <c r="G10" s="23"/>
      <c r="H10" s="174"/>
      <c r="I10"/>
      <c r="J10"/>
      <c r="K10" s="174"/>
      <c r="L10" s="174"/>
    </row>
    <row r="11" spans="1:12" x14ac:dyDescent="0.25">
      <c r="A11" s="20"/>
      <c r="B11" s="20"/>
      <c r="C11" s="349" t="s">
        <v>301</v>
      </c>
      <c r="D11" s="350"/>
      <c r="E11" s="7">
        <f>SUM(start:finish!C16)</f>
        <v>4956</v>
      </c>
      <c r="F11" s="8">
        <f>SUM(start:finish!E16)</f>
        <v>0</v>
      </c>
      <c r="G11" s="23"/>
      <c r="H11" s="174"/>
      <c r="I11"/>
      <c r="J11"/>
      <c r="K11" s="174"/>
      <c r="L11" s="174"/>
    </row>
    <row r="12" spans="1:12" x14ac:dyDescent="0.25">
      <c r="A12" s="351" t="s">
        <v>302</v>
      </c>
      <c r="B12" s="352"/>
      <c r="C12" s="349" t="s">
        <v>303</v>
      </c>
      <c r="D12" s="350"/>
      <c r="E12" s="7">
        <f>SUM(start:finish!C17)</f>
        <v>5285.46</v>
      </c>
      <c r="F12" s="8">
        <f>SUM(start:finish!E17)</f>
        <v>1665.96</v>
      </c>
      <c r="G12" s="23"/>
      <c r="H12" s="174"/>
      <c r="I12"/>
      <c r="J12"/>
      <c r="K12" s="174"/>
      <c r="L12" s="174"/>
    </row>
    <row r="13" spans="1:12" x14ac:dyDescent="0.25">
      <c r="A13" s="353"/>
      <c r="B13" s="354"/>
      <c r="C13" s="349" t="s">
        <v>304</v>
      </c>
      <c r="D13" s="350"/>
      <c r="E13" s="7">
        <f>SUM(start:finish!C18)</f>
        <v>0</v>
      </c>
      <c r="F13" s="8">
        <f>SUM(start:finish!E18)</f>
        <v>0</v>
      </c>
      <c r="G13" s="23"/>
    </row>
    <row r="14" spans="1:12" x14ac:dyDescent="0.25">
      <c r="A14" s="26"/>
      <c r="B14" s="27"/>
      <c r="C14" s="355" t="s">
        <v>305</v>
      </c>
      <c r="D14" s="356"/>
      <c r="E14" s="9">
        <v>0</v>
      </c>
      <c r="F14" s="10">
        <v>0</v>
      </c>
      <c r="G14" s="23"/>
    </row>
    <row r="15" spans="1:12" x14ac:dyDescent="0.25">
      <c r="A15" s="27"/>
      <c r="B15" s="27"/>
      <c r="C15" s="28" t="s">
        <v>498</v>
      </c>
      <c r="D15" s="27"/>
      <c r="E15" s="29">
        <v>2324</v>
      </c>
      <c r="F15" s="30">
        <v>3384</v>
      </c>
      <c r="G15" s="23"/>
    </row>
    <row r="16" spans="1:12" x14ac:dyDescent="0.25">
      <c r="A16" s="27"/>
      <c r="B16" s="27"/>
      <c r="C16" s="2" t="s">
        <v>477</v>
      </c>
      <c r="D16" s="31"/>
      <c r="E16" s="11">
        <v>600000</v>
      </c>
      <c r="F16" s="12">
        <v>600000</v>
      </c>
      <c r="G16" s="23"/>
    </row>
    <row r="17" spans="1:10" x14ac:dyDescent="0.25">
      <c r="A17" s="27"/>
      <c r="B17" s="27"/>
      <c r="C17" s="2" t="s">
        <v>306</v>
      </c>
      <c r="D17" s="31"/>
      <c r="E17" s="11">
        <v>0</v>
      </c>
      <c r="F17" s="12">
        <v>0</v>
      </c>
      <c r="G17" s="23"/>
    </row>
    <row r="18" spans="1:10" x14ac:dyDescent="0.25">
      <c r="A18" s="27"/>
      <c r="B18" s="27"/>
      <c r="C18" s="2" t="s">
        <v>306</v>
      </c>
      <c r="D18" s="31"/>
      <c r="E18" s="11">
        <v>0</v>
      </c>
      <c r="F18" s="12">
        <v>0</v>
      </c>
      <c r="G18" s="23"/>
    </row>
    <row r="19" spans="1:10" x14ac:dyDescent="0.25">
      <c r="A19" s="27"/>
      <c r="B19" s="27"/>
      <c r="C19" s="2" t="s">
        <v>306</v>
      </c>
      <c r="D19" s="31"/>
      <c r="E19" s="11">
        <v>0</v>
      </c>
      <c r="F19" s="12">
        <v>0</v>
      </c>
      <c r="G19" s="23"/>
    </row>
    <row r="20" spans="1:10" x14ac:dyDescent="0.25">
      <c r="A20" s="44" t="s">
        <v>31</v>
      </c>
      <c r="B20" s="13"/>
      <c r="C20" s="345" t="s">
        <v>307</v>
      </c>
      <c r="D20" s="346"/>
      <c r="E20" s="14">
        <v>0</v>
      </c>
      <c r="F20" s="15">
        <v>0</v>
      </c>
      <c r="G20" s="23"/>
    </row>
    <row r="21" spans="1:10" x14ac:dyDescent="0.25">
      <c r="A21" s="44" t="s">
        <v>31</v>
      </c>
      <c r="B21" s="13"/>
      <c r="C21" s="16" t="s">
        <v>308</v>
      </c>
      <c r="D21" s="13"/>
      <c r="E21" s="17">
        <v>0</v>
      </c>
      <c r="F21" s="18">
        <v>0</v>
      </c>
      <c r="G21" s="23"/>
    </row>
    <row r="22" spans="1:10" ht="15.75" thickBot="1" x14ac:dyDescent="0.3">
      <c r="A22" s="32"/>
      <c r="B22" s="32"/>
      <c r="C22" s="347" t="s">
        <v>309</v>
      </c>
      <c r="D22" s="348"/>
      <c r="E22" s="42">
        <f>SUM(E8:E21)</f>
        <v>792379.26</v>
      </c>
      <c r="F22" s="43">
        <f>SUM(F8:F21)</f>
        <v>848921.62</v>
      </c>
      <c r="G22" s="23"/>
    </row>
    <row r="23" spans="1:10" ht="15.75" thickTop="1" x14ac:dyDescent="0.25">
      <c r="C23" s="250"/>
      <c r="D23" s="251"/>
      <c r="E23" s="249"/>
      <c r="F23" s="249"/>
    </row>
    <row r="24" spans="1:10" x14ac:dyDescent="0.25">
      <c r="E24" s="175"/>
      <c r="F24" s="176"/>
    </row>
    <row r="25" spans="1:10" x14ac:dyDescent="0.25">
      <c r="E25" s="176"/>
      <c r="F25" s="176"/>
    </row>
    <row r="26" spans="1:10" x14ac:dyDescent="0.25">
      <c r="E26" s="175"/>
      <c r="F26" s="175"/>
    </row>
    <row r="28" spans="1:10" x14ac:dyDescent="0.25">
      <c r="E28" s="175"/>
      <c r="F28" s="326"/>
    </row>
    <row r="29" spans="1:10" x14ac:dyDescent="0.25">
      <c r="E29" s="176"/>
      <c r="F29" s="176"/>
    </row>
    <row r="30" spans="1:10" x14ac:dyDescent="0.25">
      <c r="E30" s="329"/>
      <c r="F30" s="329"/>
    </row>
    <row r="31" spans="1:10" x14ac:dyDescent="0.25">
      <c r="E31" s="332"/>
      <c r="F31" s="332"/>
      <c r="I31" s="175"/>
      <c r="J31" s="175"/>
    </row>
    <row r="32" spans="1:10" x14ac:dyDescent="0.25">
      <c r="E32" s="176"/>
      <c r="F32" s="176"/>
    </row>
    <row r="33" spans="5:6" x14ac:dyDescent="0.25">
      <c r="E33" s="175"/>
      <c r="F33" s="175"/>
    </row>
  </sheetData>
  <mergeCells count="15">
    <mergeCell ref="A12:B13"/>
    <mergeCell ref="C12:D12"/>
    <mergeCell ref="C13:D13"/>
    <mergeCell ref="C14:D14"/>
    <mergeCell ref="C9:D9"/>
    <mergeCell ref="C8:D8"/>
    <mergeCell ref="C20:D20"/>
    <mergeCell ref="C22:D22"/>
    <mergeCell ref="C10:D10"/>
    <mergeCell ref="C11:D11"/>
    <mergeCell ref="B1:C1"/>
    <mergeCell ref="B2:C2"/>
    <mergeCell ref="B4:C4"/>
    <mergeCell ref="B3:C3"/>
    <mergeCell ref="C7:D7"/>
  </mergeCells>
  <pageMargins left="0.7" right="0.7" top="0.75" bottom="0.75" header="0.3" footer="0.3"/>
  <pageSetup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75270-55FC-4AF8-96F6-F56CA82F398C}">
  <sheetPr>
    <tabColor rgb="FF00B050"/>
  </sheetPr>
  <dimension ref="A1"/>
  <sheetViews>
    <sheetView workbookViewId="0"/>
  </sheetViews>
  <sheetFormatPr defaultRowHeight="15" x14ac:dyDescent="0.25"/>
  <sheetData>
    <row r="1" spans="1:1" x14ac:dyDescent="0.25">
      <c r="A1"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131DE-7AAB-4A35-8B23-F9839B8D9056}">
  <sheetPr>
    <tabColor rgb="FF00B050"/>
  </sheetPr>
  <dimension ref="A1:O128"/>
  <sheetViews>
    <sheetView tabSelected="1" workbookViewId="0">
      <selection activeCell="B6" sqref="B6"/>
    </sheetView>
  </sheetViews>
  <sheetFormatPr defaultColWidth="9.140625" defaultRowHeight="15" x14ac:dyDescent="0.25"/>
  <cols>
    <col min="1" max="1" width="39.85546875" customWidth="1"/>
    <col min="2" max="2" width="30" bestFit="1" customWidth="1"/>
    <col min="3" max="3" width="25.5703125" customWidth="1"/>
    <col min="4" max="4" width="13.5703125" bestFit="1" customWidth="1"/>
    <col min="5" max="5" width="17.28515625" customWidth="1"/>
    <col min="6" max="6" width="14.42578125" customWidth="1"/>
    <col min="7" max="7" width="26.85546875" customWidth="1"/>
    <col min="8" max="8" width="20.7109375" bestFit="1" customWidth="1"/>
    <col min="9" max="9" width="14.85546875" customWidth="1"/>
    <col min="10" max="10" width="13.85546875" customWidth="1"/>
    <col min="11" max="11" width="14" customWidth="1"/>
    <col min="12" max="12" width="16.42578125" customWidth="1"/>
    <col min="13" max="13" width="10.5703125" bestFit="1" customWidth="1"/>
    <col min="14" max="15" width="10.28515625" bestFit="1" customWidth="1"/>
    <col min="16" max="16" width="15.7109375" customWidth="1"/>
    <col min="17" max="17" width="9.140625" customWidth="1"/>
    <col min="18" max="18" width="34.42578125" bestFit="1" customWidth="1"/>
    <col min="19" max="21" width="13.5703125" bestFit="1" customWidth="1"/>
    <col min="22" max="23" width="14.42578125" bestFit="1" customWidth="1"/>
    <col min="24" max="25" width="31.140625" bestFit="1" customWidth="1"/>
    <col min="26" max="26" width="16.7109375" bestFit="1" customWidth="1"/>
    <col min="27" max="27" width="19" bestFit="1" customWidth="1"/>
    <col min="28" max="28" width="16.7109375" bestFit="1" customWidth="1"/>
    <col min="29" max="29" width="19" bestFit="1" customWidth="1"/>
  </cols>
  <sheetData>
    <row r="1" spans="1:12" ht="15" customHeight="1" x14ac:dyDescent="0.25">
      <c r="A1" s="256" t="s">
        <v>287</v>
      </c>
      <c r="B1" s="62" t="str">
        <f>IF('Summary Template'!B1&lt;&gt;0,'Summary Template'!B1,"")</f>
        <v>GFO</v>
      </c>
      <c r="D1" s="252"/>
      <c r="E1" s="25"/>
      <c r="F1" s="25"/>
      <c r="G1" s="23"/>
      <c r="H1" s="4" t="s">
        <v>311</v>
      </c>
      <c r="I1" s="41"/>
      <c r="J1" s="60"/>
      <c r="K1" s="23"/>
      <c r="L1" s="23"/>
    </row>
    <row r="2" spans="1:12" ht="15" customHeight="1" x14ac:dyDescent="0.25">
      <c r="A2" s="256" t="s">
        <v>289</v>
      </c>
      <c r="B2" s="62" t="str">
        <f>IF('Summary Template'!B2&lt;&gt;0,'Summary Template'!B2,"")</f>
        <v>Budget Division</v>
      </c>
      <c r="D2" s="253"/>
      <c r="E2" s="20"/>
      <c r="F2" s="20"/>
      <c r="G2" s="23"/>
      <c r="H2" s="61" t="s">
        <v>288</v>
      </c>
      <c r="I2" s="61"/>
      <c r="J2" s="61"/>
      <c r="K2" s="23"/>
      <c r="L2" s="23"/>
    </row>
    <row r="3" spans="1:12" ht="15" customHeight="1" x14ac:dyDescent="0.25">
      <c r="A3" s="256" t="s">
        <v>291</v>
      </c>
      <c r="B3" s="62">
        <f>'Summary Template'!B3</f>
        <v>1340</v>
      </c>
      <c r="D3" s="254"/>
      <c r="E3" s="22"/>
      <c r="F3" s="22"/>
      <c r="G3" s="23"/>
      <c r="H3" s="44" t="s">
        <v>290</v>
      </c>
      <c r="I3" s="44"/>
      <c r="J3" s="44"/>
      <c r="K3" s="23"/>
      <c r="L3" s="23"/>
    </row>
    <row r="4" spans="1:12" ht="15" customHeight="1" x14ac:dyDescent="0.25">
      <c r="A4" s="256" t="s">
        <v>293</v>
      </c>
      <c r="B4" s="62" t="str">
        <f>+'Summary Template'!B4</f>
        <v>Budget Division</v>
      </c>
      <c r="D4" s="254"/>
      <c r="E4" s="22"/>
      <c r="F4" s="22"/>
      <c r="G4" s="23"/>
      <c r="H4" s="62" t="s">
        <v>312</v>
      </c>
      <c r="I4" s="62"/>
      <c r="J4" s="62"/>
      <c r="K4" s="23"/>
      <c r="L4" s="23"/>
    </row>
    <row r="5" spans="1:12" ht="15" customHeight="1" x14ac:dyDescent="0.25">
      <c r="A5" s="256" t="s">
        <v>313</v>
      </c>
      <c r="B5" s="62" t="str">
        <f>+B23</f>
        <v>E300 GOVERNMENT SUPPORT SERVICES</v>
      </c>
      <c r="C5" s="257"/>
      <c r="D5" s="254"/>
      <c r="E5" s="22"/>
      <c r="F5" s="22"/>
      <c r="G5" s="23"/>
      <c r="H5" s="63" t="str">
        <f>Input!B11&amp;" Calculated Values - Do Not Change"</f>
        <v>2026 Calculated Values - Do Not Change</v>
      </c>
      <c r="I5" s="64"/>
      <c r="J5" s="64"/>
      <c r="K5" s="23"/>
      <c r="L5" s="23"/>
    </row>
    <row r="6" spans="1:12" ht="15" customHeight="1" x14ac:dyDescent="0.25">
      <c r="A6" s="256" t="s">
        <v>314</v>
      </c>
      <c r="B6" s="258">
        <v>22</v>
      </c>
      <c r="C6" s="262" t="s">
        <v>502</v>
      </c>
      <c r="D6" s="262"/>
      <c r="E6" s="262"/>
      <c r="F6" s="262"/>
      <c r="G6" s="262"/>
      <c r="H6" s="65" t="str">
        <f>Input!B12&amp;" Calculated Values - Do Not Change"</f>
        <v>2027 Calculated Values - Do Not Change</v>
      </c>
      <c r="I6" s="66"/>
      <c r="J6" s="66"/>
      <c r="K6" s="23"/>
      <c r="L6" s="23"/>
    </row>
    <row r="7" spans="1:12" ht="15" customHeight="1" x14ac:dyDescent="0.25">
      <c r="A7" s="259"/>
      <c r="B7" s="260"/>
      <c r="C7" s="259"/>
      <c r="D7" s="254"/>
      <c r="G7" s="23"/>
      <c r="H7" s="23"/>
      <c r="I7" s="23"/>
      <c r="J7" s="23"/>
      <c r="K7" s="23"/>
      <c r="L7" s="23"/>
    </row>
    <row r="8" spans="1:12" ht="15" customHeight="1" x14ac:dyDescent="0.25">
      <c r="A8" s="261" t="s">
        <v>294</v>
      </c>
      <c r="B8" s="255">
        <f>+GETPIVOTDATA("Sum of FTE YR2",$A$25)</f>
        <v>2</v>
      </c>
      <c r="C8" s="262"/>
      <c r="D8" s="253"/>
      <c r="G8" s="23"/>
      <c r="H8" s="23"/>
      <c r="I8" s="23"/>
      <c r="J8" s="24"/>
      <c r="K8" s="23"/>
      <c r="L8" s="23"/>
    </row>
    <row r="9" spans="1:12" ht="15" customHeight="1" x14ac:dyDescent="0.25">
      <c r="A9" s="261" t="s">
        <v>296</v>
      </c>
      <c r="B9" s="255">
        <f>+'Summary Template'!B8</f>
        <v>39</v>
      </c>
      <c r="C9" s="262"/>
      <c r="D9" s="253"/>
      <c r="E9" s="23"/>
      <c r="F9" s="23"/>
      <c r="G9" s="23"/>
      <c r="H9" s="23"/>
      <c r="I9" s="23"/>
      <c r="J9" s="23"/>
      <c r="K9" s="23"/>
      <c r="L9" s="23"/>
    </row>
    <row r="10" spans="1:12" ht="15" customHeight="1" x14ac:dyDescent="0.25">
      <c r="A10" s="261" t="s">
        <v>298</v>
      </c>
      <c r="B10" s="255">
        <f>+'Summary Template'!B9</f>
        <v>2</v>
      </c>
      <c r="C10" s="262"/>
      <c r="D10" s="253"/>
      <c r="E10" s="23"/>
      <c r="F10" s="23"/>
      <c r="G10" s="23"/>
      <c r="H10" s="23"/>
      <c r="I10" s="23"/>
      <c r="J10" s="23"/>
      <c r="K10" s="23"/>
      <c r="L10" s="23"/>
    </row>
    <row r="11" spans="1:12" ht="15" customHeight="1" thickBot="1" x14ac:dyDescent="0.3">
      <c r="A11" s="262"/>
      <c r="B11" s="262"/>
      <c r="C11" s="262"/>
      <c r="D11" s="253"/>
      <c r="E11" s="23"/>
      <c r="F11" s="23"/>
      <c r="G11" s="23"/>
      <c r="H11" s="23"/>
      <c r="I11" s="24"/>
      <c r="J11" s="23"/>
      <c r="K11" s="23"/>
      <c r="L11" s="23"/>
    </row>
    <row r="12" spans="1:12" ht="15" customHeight="1" thickBot="1" x14ac:dyDescent="0.3">
      <c r="B12" s="301" t="s">
        <v>315</v>
      </c>
      <c r="C12" s="263" t="str">
        <f>"SFY "&amp;Input!$B$11</f>
        <v>SFY 2026</v>
      </c>
      <c r="D12" s="273" t="s">
        <v>316</v>
      </c>
      <c r="E12" s="269" t="str">
        <f>"SFY "&amp;Input!$B$12</f>
        <v>SFY 2027</v>
      </c>
      <c r="F12" s="277" t="s">
        <v>317</v>
      </c>
      <c r="G12" s="23"/>
      <c r="H12" s="23"/>
      <c r="I12" s="24"/>
      <c r="J12" s="23"/>
      <c r="K12" s="23"/>
      <c r="L12" s="23"/>
    </row>
    <row r="13" spans="1:12" ht="15" customHeight="1" x14ac:dyDescent="0.25">
      <c r="B13" s="302" t="s">
        <v>297</v>
      </c>
      <c r="C13" s="264">
        <f>+GETPIVOTDATA("Sum of Salary YR1",$A$25)+GETPIVOTDATA("Sum of Benefits YR1",$A$25)</f>
        <v>171870</v>
      </c>
      <c r="D13" s="274">
        <f t="shared" ref="D13:D19" si="0">+C13/$B$8</f>
        <v>85935</v>
      </c>
      <c r="E13" s="270">
        <f>+GETPIVOTDATA("Sum of Salary YR2",$A$25)+GETPIVOTDATA("Sum of Benefits YR2",$A$25)</f>
        <v>233642</v>
      </c>
      <c r="F13" s="278">
        <f>+E13/$B$8</f>
        <v>116821</v>
      </c>
      <c r="G13" s="23"/>
      <c r="H13" s="23"/>
      <c r="I13" s="24"/>
      <c r="J13" s="23"/>
      <c r="K13" s="23"/>
      <c r="L13" s="23"/>
    </row>
    <row r="14" spans="1:12" ht="15" customHeight="1" x14ac:dyDescent="0.25">
      <c r="B14" s="303" t="s">
        <v>299</v>
      </c>
      <c r="C14" s="265">
        <f>K48</f>
        <v>2110.5</v>
      </c>
      <c r="D14" s="275">
        <f t="shared" si="0"/>
        <v>1055.25</v>
      </c>
      <c r="E14" s="271">
        <f>L48</f>
        <v>2814</v>
      </c>
      <c r="F14" s="279">
        <f t="shared" ref="F14:F19" si="1">+E14/$B$8</f>
        <v>1407</v>
      </c>
      <c r="G14" s="23"/>
      <c r="H14" s="23"/>
      <c r="I14" s="24"/>
      <c r="J14" s="23"/>
      <c r="K14" s="23"/>
      <c r="L14" s="23"/>
    </row>
    <row r="15" spans="1:12" ht="15" customHeight="1" x14ac:dyDescent="0.25">
      <c r="B15" s="303" t="s">
        <v>300</v>
      </c>
      <c r="C15" s="265">
        <f>+K87+K121</f>
        <v>5833.2999999999993</v>
      </c>
      <c r="D15" s="275">
        <f t="shared" si="0"/>
        <v>2916.6499999999996</v>
      </c>
      <c r="E15" s="271">
        <f>+L87+L121</f>
        <v>7415.66</v>
      </c>
      <c r="F15" s="279">
        <f t="shared" si="1"/>
        <v>3707.83</v>
      </c>
      <c r="G15" s="23"/>
      <c r="H15" s="23"/>
      <c r="I15" s="24"/>
      <c r="J15" s="23"/>
      <c r="K15" s="23"/>
      <c r="L15" s="23"/>
    </row>
    <row r="16" spans="1:12" ht="15" customHeight="1" x14ac:dyDescent="0.25">
      <c r="B16" s="284" t="s">
        <v>301</v>
      </c>
      <c r="C16" s="265">
        <f>K94</f>
        <v>4956</v>
      </c>
      <c r="D16" s="275">
        <f t="shared" si="0"/>
        <v>2478</v>
      </c>
      <c r="E16" s="271">
        <f>L94</f>
        <v>0</v>
      </c>
      <c r="F16" s="279">
        <f t="shared" si="1"/>
        <v>0</v>
      </c>
      <c r="G16" s="45"/>
      <c r="H16" s="23"/>
      <c r="I16" s="23"/>
      <c r="J16" s="23"/>
      <c r="K16" s="23"/>
      <c r="L16" s="23"/>
    </row>
    <row r="17" spans="1:12" ht="15" customHeight="1" x14ac:dyDescent="0.25">
      <c r="B17" s="284" t="s">
        <v>303</v>
      </c>
      <c r="C17" s="265">
        <f>K109+K122-K121</f>
        <v>5285.46</v>
      </c>
      <c r="D17" s="275">
        <f t="shared" si="0"/>
        <v>2642.73</v>
      </c>
      <c r="E17" s="271">
        <f>L109+L122-L121</f>
        <v>1665.96</v>
      </c>
      <c r="F17" s="279">
        <f t="shared" si="1"/>
        <v>832.98</v>
      </c>
      <c r="G17" s="32"/>
      <c r="H17" s="23"/>
      <c r="I17" s="23"/>
      <c r="J17" s="23"/>
      <c r="K17" s="23"/>
      <c r="L17" s="23"/>
    </row>
    <row r="18" spans="1:12" ht="15" customHeight="1" x14ac:dyDescent="0.25">
      <c r="B18" s="266" t="s">
        <v>318</v>
      </c>
      <c r="C18" s="265">
        <f>H128</f>
        <v>0</v>
      </c>
      <c r="D18" s="275">
        <f t="shared" si="0"/>
        <v>0</v>
      </c>
      <c r="E18" s="271">
        <f>I128</f>
        <v>0</v>
      </c>
      <c r="F18" s="279">
        <f t="shared" si="1"/>
        <v>0</v>
      </c>
      <c r="G18" s="45"/>
      <c r="H18" s="23"/>
      <c r="I18" s="23"/>
      <c r="J18" s="23"/>
      <c r="K18" s="23"/>
      <c r="L18" s="23"/>
    </row>
    <row r="19" spans="1:12" ht="15" customHeight="1" thickBot="1" x14ac:dyDescent="0.3">
      <c r="B19" s="267" t="s">
        <v>319</v>
      </c>
      <c r="C19" s="268">
        <f>SUM(C13:C18)</f>
        <v>190055.25999999998</v>
      </c>
      <c r="D19" s="276">
        <f t="shared" si="0"/>
        <v>95027.62999999999</v>
      </c>
      <c r="E19" s="272">
        <f>SUM(E13:E18)</f>
        <v>245537.62</v>
      </c>
      <c r="F19" s="280">
        <f t="shared" si="1"/>
        <v>122768.81</v>
      </c>
      <c r="G19" s="45"/>
      <c r="H19" s="285"/>
      <c r="I19" s="285"/>
      <c r="J19" s="23"/>
      <c r="K19" s="23"/>
      <c r="L19" s="23"/>
    </row>
    <row r="20" spans="1:12" ht="15" customHeight="1" thickTop="1" x14ac:dyDescent="0.25">
      <c r="A20" s="23"/>
      <c r="B20" s="23"/>
      <c r="C20" s="32"/>
      <c r="D20" s="32"/>
      <c r="E20" s="45"/>
      <c r="F20" s="45"/>
      <c r="G20" s="45"/>
      <c r="H20" s="23"/>
      <c r="I20" s="23"/>
      <c r="J20" s="23"/>
      <c r="K20" s="23"/>
      <c r="L20" s="23"/>
    </row>
    <row r="21" spans="1:12" ht="16.5" customHeight="1" x14ac:dyDescent="0.25">
      <c r="A21" s="304" t="s">
        <v>320</v>
      </c>
      <c r="B21" s="23"/>
      <c r="C21" s="283"/>
      <c r="D21" s="23"/>
      <c r="E21" s="283"/>
      <c r="F21" s="23"/>
      <c r="G21" s="23"/>
      <c r="H21" s="23"/>
      <c r="I21" s="23"/>
      <c r="J21" s="23"/>
      <c r="K21" s="24"/>
      <c r="L21" s="23"/>
    </row>
    <row r="22" spans="1:12" ht="13.5" customHeight="1" x14ac:dyDescent="0.25">
      <c r="A22" s="305" t="s">
        <v>321</v>
      </c>
    </row>
    <row r="23" spans="1:12" x14ac:dyDescent="0.25">
      <c r="A23" s="212" t="s">
        <v>249</v>
      </c>
      <c r="B23" t="s">
        <v>462</v>
      </c>
    </row>
    <row r="25" spans="1:12" ht="30" x14ac:dyDescent="0.25">
      <c r="A25" s="212" t="s">
        <v>252</v>
      </c>
      <c r="B25" s="212" t="s">
        <v>270</v>
      </c>
      <c r="C25" s="212" t="s">
        <v>271</v>
      </c>
      <c r="D25" s="212" t="s">
        <v>272</v>
      </c>
      <c r="E25" t="s">
        <v>322</v>
      </c>
      <c r="F25" t="s">
        <v>323</v>
      </c>
      <c r="G25" s="177" t="s">
        <v>324</v>
      </c>
      <c r="H25" s="177" t="s">
        <v>325</v>
      </c>
      <c r="I25" s="171" t="s">
        <v>478</v>
      </c>
      <c r="J25" s="171" t="s">
        <v>479</v>
      </c>
      <c r="K25" s="171" t="s">
        <v>480</v>
      </c>
      <c r="L25" s="171" t="s">
        <v>481</v>
      </c>
    </row>
    <row r="26" spans="1:12" x14ac:dyDescent="0.25">
      <c r="A26" t="s">
        <v>464</v>
      </c>
      <c r="B26" t="s">
        <v>87</v>
      </c>
      <c r="C26" t="s">
        <v>80</v>
      </c>
      <c r="D26" t="s">
        <v>76</v>
      </c>
      <c r="E26">
        <v>1</v>
      </c>
      <c r="F26">
        <v>1</v>
      </c>
      <c r="G26">
        <v>9</v>
      </c>
      <c r="H26">
        <v>12</v>
      </c>
      <c r="I26" s="334">
        <v>68359</v>
      </c>
      <c r="J26" s="334">
        <v>24440</v>
      </c>
      <c r="K26" s="334">
        <v>94585</v>
      </c>
      <c r="L26" s="334">
        <v>31641</v>
      </c>
    </row>
    <row r="27" spans="1:12" x14ac:dyDescent="0.25">
      <c r="A27" t="s">
        <v>470</v>
      </c>
      <c r="B27" t="s">
        <v>85</v>
      </c>
      <c r="C27" t="s">
        <v>80</v>
      </c>
      <c r="D27" t="s">
        <v>79</v>
      </c>
      <c r="E27">
        <v>1</v>
      </c>
      <c r="F27">
        <v>1</v>
      </c>
      <c r="G27">
        <v>9</v>
      </c>
      <c r="H27">
        <v>12</v>
      </c>
      <c r="I27" s="334">
        <v>57236</v>
      </c>
      <c r="J27" s="334">
        <v>21835</v>
      </c>
      <c r="K27" s="334">
        <v>79183</v>
      </c>
      <c r="L27" s="334">
        <v>28233</v>
      </c>
    </row>
    <row r="28" spans="1:12" x14ac:dyDescent="0.25">
      <c r="A28" t="s">
        <v>326</v>
      </c>
      <c r="E28">
        <v>2</v>
      </c>
      <c r="F28">
        <v>2</v>
      </c>
      <c r="G28">
        <v>18</v>
      </c>
      <c r="H28">
        <v>24</v>
      </c>
      <c r="I28" s="334">
        <v>125595</v>
      </c>
      <c r="J28" s="334">
        <v>46275</v>
      </c>
      <c r="K28" s="334">
        <v>173768</v>
      </c>
      <c r="L28" s="334">
        <v>59874</v>
      </c>
    </row>
    <row r="39" spans="1:12" x14ac:dyDescent="0.25">
      <c r="A39" s="307" t="s">
        <v>327</v>
      </c>
    </row>
    <row r="40" spans="1:12" x14ac:dyDescent="0.25">
      <c r="A40" s="46"/>
      <c r="B40" s="47"/>
      <c r="C40" s="48"/>
      <c r="D40" s="49"/>
      <c r="E40" s="23"/>
      <c r="F40" s="23"/>
      <c r="G40" s="23"/>
      <c r="H40" s="23"/>
      <c r="I40" s="23"/>
      <c r="J40" s="23"/>
      <c r="K40" s="23"/>
      <c r="L40" s="23"/>
    </row>
    <row r="41" spans="1:12" x14ac:dyDescent="0.25">
      <c r="A41" s="46"/>
      <c r="B41" s="47"/>
      <c r="C41" s="48"/>
      <c r="D41" s="49"/>
      <c r="E41" s="23"/>
      <c r="F41" s="23"/>
      <c r="G41" s="23"/>
      <c r="H41" s="23"/>
      <c r="I41" s="23"/>
      <c r="J41" s="23"/>
      <c r="K41" s="23"/>
      <c r="L41" s="23"/>
    </row>
    <row r="42" spans="1:12" x14ac:dyDescent="0.25">
      <c r="A42" s="74" t="s">
        <v>328</v>
      </c>
      <c r="B42" s="75"/>
      <c r="C42" s="75"/>
      <c r="D42" s="289"/>
      <c r="E42" s="289"/>
      <c r="F42" s="289"/>
      <c r="G42" s="76"/>
      <c r="H42" s="173"/>
      <c r="I42" s="24"/>
      <c r="J42" s="23" t="s">
        <v>103</v>
      </c>
      <c r="K42" s="201" t="str">
        <f>C12</f>
        <v>SFY 2026</v>
      </c>
      <c r="L42" s="202" t="str">
        <f>E12</f>
        <v>SFY 2027</v>
      </c>
    </row>
    <row r="43" spans="1:12" ht="51.75" x14ac:dyDescent="0.25">
      <c r="A43" s="73" t="s">
        <v>47</v>
      </c>
      <c r="B43" s="73" t="s">
        <v>48</v>
      </c>
      <c r="C43" s="288" t="s">
        <v>49</v>
      </c>
      <c r="D43" s="73" t="s">
        <v>329</v>
      </c>
      <c r="E43" s="73" t="s">
        <v>330</v>
      </c>
      <c r="F43" s="77" t="s">
        <v>331</v>
      </c>
      <c r="G43" s="73" t="s">
        <v>332</v>
      </c>
      <c r="H43" s="78" t="s">
        <v>333</v>
      </c>
      <c r="I43" s="79" t="s">
        <v>333</v>
      </c>
      <c r="J43" s="23"/>
      <c r="K43" s="78" t="s">
        <v>334</v>
      </c>
      <c r="L43" s="79" t="s">
        <v>334</v>
      </c>
    </row>
    <row r="44" spans="1:12" ht="12" customHeight="1" x14ac:dyDescent="0.25">
      <c r="A44" s="80" t="s">
        <v>155</v>
      </c>
      <c r="B44" s="81">
        <v>6200</v>
      </c>
      <c r="C44" s="82" t="s">
        <v>335</v>
      </c>
      <c r="D44" s="186">
        <f>SUMIFS(tblActual[Actual],tblActual[GL],B44,tblActual[Catg],A44)</f>
        <v>2894</v>
      </c>
      <c r="E44" s="84">
        <f>IF(D44&gt;0.01,D44/12,0)</f>
        <v>241.16666666666666</v>
      </c>
      <c r="F44" s="85">
        <f>$B$10</f>
        <v>2</v>
      </c>
      <c r="G44" s="84">
        <f>IF(D44&gt;0.01,E44/F44,0)</f>
        <v>120.58333333333333</v>
      </c>
      <c r="H44" s="86">
        <f>SUMIFS('NEBS 130'!AA:AA,'NEBS 130'!$B:$B,$B$5,'NEBS 130'!$Y:$Y,"yes")</f>
        <v>9</v>
      </c>
      <c r="I44" s="88">
        <f>SUMIFS('NEBS 130'!AB:AB,'NEBS 130'!$B:$B,$B$5,'NEBS 130'!$Y:$Y,"yes")</f>
        <v>12</v>
      </c>
      <c r="J44" s="23"/>
      <c r="K44" s="87">
        <f>IF(D44&gt;0.01,G44*H44,0)</f>
        <v>1085.25</v>
      </c>
      <c r="L44" s="88">
        <f>IF(D44&gt;0.01,G44*I44,0)</f>
        <v>1447</v>
      </c>
    </row>
    <row r="45" spans="1:12" ht="12" customHeight="1" x14ac:dyDescent="0.25">
      <c r="A45" s="90" t="s">
        <v>155</v>
      </c>
      <c r="B45" s="91">
        <v>6210</v>
      </c>
      <c r="C45" s="92" t="s">
        <v>336</v>
      </c>
      <c r="D45" s="188">
        <f>SUMIFS(tblActual[Actual],tblActual[GL],B45,tblActual[Catg],A45)</f>
        <v>498</v>
      </c>
      <c r="E45" s="94">
        <f t="shared" ref="E45:E47" si="2">IF(D45&gt;0.01,D45/12,0)</f>
        <v>41.5</v>
      </c>
      <c r="F45" s="95">
        <f>$B$10</f>
        <v>2</v>
      </c>
      <c r="G45" s="94">
        <f t="shared" ref="G45:G47" si="3">IF(D45&gt;0.01,E45/F45,0)</f>
        <v>20.75</v>
      </c>
      <c r="H45" s="86">
        <f>SUMIFS('NEBS 130'!AA:AA,'NEBS 130'!$B:$B,$B$5,'NEBS 130'!$Y:$Y,"yes")</f>
        <v>9</v>
      </c>
      <c r="I45" s="88">
        <f>SUMIFS('NEBS 130'!AB:AB,'NEBS 130'!$B:$B,$B$5,'NEBS 130'!$Y:$Y,"yes")</f>
        <v>12</v>
      </c>
      <c r="J45" s="23"/>
      <c r="K45" s="96">
        <f>IF(D45&gt;0.01,G45*H45,0)</f>
        <v>186.75</v>
      </c>
      <c r="L45" s="97">
        <f>IF(D45&gt;0.01,G45*I45,0)</f>
        <v>249</v>
      </c>
    </row>
    <row r="46" spans="1:12" x14ac:dyDescent="0.25">
      <c r="A46" s="99" t="s">
        <v>155</v>
      </c>
      <c r="B46" s="100">
        <v>6240</v>
      </c>
      <c r="C46" s="101" t="s">
        <v>337</v>
      </c>
      <c r="D46" s="189">
        <f>SUMIFS(tblActual[Actual],tblActual[GL],B46,tblActual[Catg],A46)</f>
        <v>255</v>
      </c>
      <c r="E46" s="94">
        <f t="shared" si="2"/>
        <v>21.25</v>
      </c>
      <c r="F46" s="95">
        <f>$B$10</f>
        <v>2</v>
      </c>
      <c r="G46" s="94">
        <f t="shared" si="3"/>
        <v>10.625</v>
      </c>
      <c r="H46" s="86">
        <f>SUMIFS('NEBS 130'!AA:AA,'NEBS 130'!$B:$B,$B$5,'NEBS 130'!$Y:$Y,"yes")</f>
        <v>9</v>
      </c>
      <c r="I46" s="88">
        <f>SUMIFS('NEBS 130'!AB:AB,'NEBS 130'!$B:$B,$B$5,'NEBS 130'!$Y:$Y,"yes")</f>
        <v>12</v>
      </c>
      <c r="J46" s="23"/>
      <c r="K46" s="96">
        <f>IF(D46&gt;0.01,G46*H46,0)</f>
        <v>95.625</v>
      </c>
      <c r="L46" s="97">
        <f>IF(D46&gt;0.01,G46*I46,0)</f>
        <v>127.5</v>
      </c>
    </row>
    <row r="47" spans="1:12" ht="12" customHeight="1" x14ac:dyDescent="0.25">
      <c r="A47" s="102" t="s">
        <v>155</v>
      </c>
      <c r="B47" s="103">
        <v>6250</v>
      </c>
      <c r="C47" s="104" t="s">
        <v>338</v>
      </c>
      <c r="D47" s="188">
        <f>SUMIFS(tblActual[Actual],tblActual[GL],B47,tblActual[Catg],A47)</f>
        <v>1981</v>
      </c>
      <c r="E47" s="94">
        <f t="shared" si="2"/>
        <v>165.08333333333334</v>
      </c>
      <c r="F47" s="106">
        <f>$B$10</f>
        <v>2</v>
      </c>
      <c r="G47" s="94">
        <f t="shared" si="3"/>
        <v>82.541666666666671</v>
      </c>
      <c r="H47" s="86">
        <f>SUMIFS('NEBS 130'!AA:AA,'NEBS 130'!$B:$B,$B$5,'NEBS 130'!$Y:$Y,"yes")</f>
        <v>9</v>
      </c>
      <c r="I47" s="88">
        <f>SUMIFS('NEBS 130'!AB:AB,'NEBS 130'!$B:$B,$B$5,'NEBS 130'!$Y:$Y,"yes")</f>
        <v>12</v>
      </c>
      <c r="J47" s="23"/>
      <c r="K47" s="107">
        <f>IF(D47&gt;0.01,G47*H47,0)</f>
        <v>742.875</v>
      </c>
      <c r="L47" s="97">
        <f>IF(D47&gt;0.01,G47*I47,0)</f>
        <v>990.5</v>
      </c>
    </row>
    <row r="48" spans="1:12" ht="12" customHeight="1" x14ac:dyDescent="0.25">
      <c r="A48" s="224" t="s">
        <v>339</v>
      </c>
      <c r="B48" s="225"/>
      <c r="C48" s="225"/>
      <c r="D48" s="225"/>
      <c r="E48" s="225"/>
      <c r="F48" s="225"/>
      <c r="G48" s="225"/>
      <c r="H48" s="226">
        <f>SUM(H44:H47)</f>
        <v>36</v>
      </c>
      <c r="I48" s="226">
        <f>SUM(I44:I47)</f>
        <v>48</v>
      </c>
      <c r="J48" s="227"/>
      <c r="K48" s="228">
        <f>SUM(K44:K47)</f>
        <v>2110.5</v>
      </c>
      <c r="L48" s="226">
        <f>SUM(L44:L47)</f>
        <v>2814</v>
      </c>
    </row>
    <row r="49" spans="1:12" ht="12" customHeight="1" x14ac:dyDescent="0.25">
      <c r="A49" s="25"/>
      <c r="B49" s="25"/>
      <c r="C49" s="25"/>
      <c r="D49" s="25"/>
      <c r="E49" s="25"/>
      <c r="F49" s="25"/>
      <c r="G49" s="25"/>
      <c r="H49" s="25"/>
      <c r="I49" s="50"/>
      <c r="J49" s="23"/>
      <c r="K49" s="51"/>
      <c r="L49" s="23"/>
    </row>
    <row r="50" spans="1:12" ht="12" customHeight="1" x14ac:dyDescent="0.25">
      <c r="A50" s="25"/>
      <c r="B50" s="25"/>
      <c r="C50" s="25"/>
      <c r="D50" s="25"/>
      <c r="E50" s="25"/>
      <c r="F50" s="25"/>
      <c r="G50" s="25"/>
      <c r="H50" s="25"/>
      <c r="I50" s="50"/>
      <c r="J50" s="23"/>
      <c r="K50" s="51"/>
      <c r="L50" s="23"/>
    </row>
    <row r="51" spans="1:12" x14ac:dyDescent="0.25">
      <c r="A51" s="127" t="s">
        <v>340</v>
      </c>
      <c r="B51" s="110"/>
      <c r="C51" s="110"/>
      <c r="D51" s="110"/>
      <c r="E51" s="110"/>
      <c r="F51" s="289"/>
      <c r="G51" s="76"/>
      <c r="H51" s="23"/>
      <c r="I51" s="23"/>
      <c r="J51" s="23"/>
      <c r="K51" s="68" t="str">
        <f>C12</f>
        <v>SFY 2026</v>
      </c>
      <c r="L51" s="67" t="str">
        <f>E12</f>
        <v>SFY 2027</v>
      </c>
    </row>
    <row r="52" spans="1:12" ht="45.75" customHeight="1" x14ac:dyDescent="0.25">
      <c r="A52" s="172" t="s">
        <v>44</v>
      </c>
      <c r="B52" s="112"/>
      <c r="C52" s="112"/>
      <c r="D52" s="112"/>
      <c r="E52" s="77" t="s">
        <v>45</v>
      </c>
      <c r="F52" s="73" t="s">
        <v>46</v>
      </c>
      <c r="G52" s="77" t="s">
        <v>341</v>
      </c>
      <c r="H52" s="77" t="s">
        <v>342</v>
      </c>
      <c r="I52" s="23"/>
      <c r="J52" s="23"/>
      <c r="K52" s="78" t="s">
        <v>334</v>
      </c>
      <c r="L52" s="79" t="s">
        <v>334</v>
      </c>
    </row>
    <row r="53" spans="1:12" ht="12" customHeight="1" x14ac:dyDescent="0.25">
      <c r="A53" s="73" t="s">
        <v>47</v>
      </c>
      <c r="B53" s="73" t="s">
        <v>48</v>
      </c>
      <c r="C53" s="288" t="s">
        <v>49</v>
      </c>
      <c r="D53" s="288"/>
      <c r="E53" s="288"/>
      <c r="F53" s="288"/>
      <c r="G53" s="288"/>
      <c r="H53" s="288"/>
      <c r="I53" s="23"/>
      <c r="J53" s="23"/>
      <c r="K53" s="203"/>
      <c r="L53" s="203"/>
    </row>
    <row r="54" spans="1:12" ht="13.15" customHeight="1" x14ac:dyDescent="0.25">
      <c r="A54" s="80" t="s">
        <v>50</v>
      </c>
      <c r="B54" s="81">
        <v>7050</v>
      </c>
      <c r="C54" s="115" t="s">
        <v>51</v>
      </c>
      <c r="D54" s="115"/>
      <c r="E54" s="83">
        <f>Input!D21</f>
        <v>2.68</v>
      </c>
      <c r="F54" s="83">
        <f>Input!E21</f>
        <v>2.68</v>
      </c>
      <c r="G54" s="85">
        <f>+GETPIVOTDATA("Sum of FTE YR1",$A$25)</f>
        <v>2</v>
      </c>
      <c r="H54" s="85">
        <f>+GETPIVOTDATA("Sum of FTE YR2",$A$25)</f>
        <v>2</v>
      </c>
      <c r="I54" s="23"/>
      <c r="J54" s="23" t="s">
        <v>343</v>
      </c>
      <c r="K54" s="116">
        <f>$G54*$E54</f>
        <v>5.36</v>
      </c>
      <c r="L54" s="117">
        <f>$H54*$F54</f>
        <v>5.36</v>
      </c>
    </row>
    <row r="55" spans="1:12" ht="13.15" customHeight="1" x14ac:dyDescent="0.25">
      <c r="A55" s="90" t="s">
        <v>50</v>
      </c>
      <c r="B55" s="91">
        <v>7054</v>
      </c>
      <c r="C55" s="118" t="s">
        <v>52</v>
      </c>
      <c r="D55" s="118"/>
      <c r="E55" s="153">
        <f>Input!D22</f>
        <v>116.43</v>
      </c>
      <c r="F55" s="153">
        <f>Input!E22</f>
        <v>116.43</v>
      </c>
      <c r="G55" s="95">
        <f>+GETPIVOTDATA("Sum of FTE YR1",$A$25)</f>
        <v>2</v>
      </c>
      <c r="H55" s="95">
        <f>+GETPIVOTDATA("Sum of FTE YR2",$A$25)</f>
        <v>2</v>
      </c>
      <c r="I55" s="23"/>
      <c r="J55" s="23" t="s">
        <v>343</v>
      </c>
      <c r="K55" s="116">
        <f>$G55*$E55</f>
        <v>232.86</v>
      </c>
      <c r="L55" s="117">
        <f>$H55*$F55</f>
        <v>232.86</v>
      </c>
    </row>
    <row r="56" spans="1:12" ht="12" customHeight="1" x14ac:dyDescent="0.25">
      <c r="A56" s="90" t="s">
        <v>50</v>
      </c>
      <c r="B56" s="91">
        <v>7299</v>
      </c>
      <c r="C56" s="118" t="s">
        <v>344</v>
      </c>
      <c r="D56" s="118"/>
      <c r="E56" s="94">
        <v>0</v>
      </c>
      <c r="F56" s="94">
        <v>0</v>
      </c>
      <c r="G56" s="95">
        <f>+GETPIVOTDATA("Sum of FTE YR1",$A$25)</f>
        <v>2</v>
      </c>
      <c r="H56" s="95">
        <f>+GETPIVOTDATA("Sum of FTE YR2",$A$25)-G56</f>
        <v>0</v>
      </c>
      <c r="I56" s="23"/>
      <c r="J56" s="23"/>
      <c r="K56" s="124">
        <f>$G56*$E56</f>
        <v>0</v>
      </c>
      <c r="L56" s="125">
        <f>$H56*$F56</f>
        <v>0</v>
      </c>
    </row>
    <row r="57" spans="1:12" ht="13.15" customHeight="1" x14ac:dyDescent="0.25">
      <c r="A57" s="209"/>
      <c r="B57" s="287"/>
      <c r="C57" s="287"/>
      <c r="D57" s="210"/>
      <c r="E57" s="211"/>
      <c r="F57" s="166"/>
      <c r="G57" s="166"/>
      <c r="H57" s="23"/>
      <c r="I57" s="23"/>
      <c r="J57" s="23"/>
      <c r="K57" s="206"/>
      <c r="L57" s="206"/>
    </row>
    <row r="58" spans="1:12" ht="13.15" customHeight="1" x14ac:dyDescent="0.25">
      <c r="A58" s="182"/>
      <c r="B58" s="183"/>
      <c r="C58" s="183"/>
      <c r="D58" s="183"/>
      <c r="E58" s="184"/>
      <c r="F58" s="185"/>
      <c r="G58" s="185"/>
      <c r="H58" s="23"/>
      <c r="I58" s="23"/>
      <c r="J58" s="23"/>
      <c r="K58" s="23"/>
      <c r="L58" s="24"/>
    </row>
    <row r="59" spans="1:12" ht="39" x14ac:dyDescent="0.25">
      <c r="A59" s="178" t="s">
        <v>345</v>
      </c>
      <c r="B59" s="179"/>
      <c r="C59" s="179"/>
      <c r="D59" s="180" t="s">
        <v>346</v>
      </c>
      <c r="E59" s="181" t="s">
        <v>330</v>
      </c>
      <c r="F59" s="181" t="s">
        <v>332</v>
      </c>
      <c r="G59" s="77" t="s">
        <v>341</v>
      </c>
      <c r="H59" s="73" t="s">
        <v>342</v>
      </c>
      <c r="I59" s="23"/>
      <c r="J59" s="23"/>
      <c r="K59" s="23"/>
      <c r="L59" s="24"/>
    </row>
    <row r="60" spans="1:12" ht="12" customHeight="1" x14ac:dyDescent="0.25">
      <c r="A60" s="73" t="s">
        <v>47</v>
      </c>
      <c r="B60" s="73" t="s">
        <v>48</v>
      </c>
      <c r="C60" s="288" t="s">
        <v>49</v>
      </c>
      <c r="D60" s="288"/>
      <c r="E60" s="288"/>
      <c r="F60" s="288"/>
      <c r="G60" s="288"/>
      <c r="H60" s="243"/>
      <c r="I60" s="23"/>
      <c r="J60" s="23"/>
      <c r="K60" s="204"/>
      <c r="L60" s="204"/>
    </row>
    <row r="61" spans="1:12" ht="13.15" customHeight="1" x14ac:dyDescent="0.25">
      <c r="A61" s="119" t="s">
        <v>50</v>
      </c>
      <c r="B61" s="120">
        <v>7020</v>
      </c>
      <c r="C61" s="121" t="s">
        <v>347</v>
      </c>
      <c r="D61" s="187">
        <f>SUMIFS(tblActual[Actual],tblActual[GL],B61,tblActual[Catg],A61)</f>
        <v>2353</v>
      </c>
      <c r="E61" s="122">
        <f t="shared" ref="E61:E66" si="4">IF(D61&gt;0.01,D61/12,0)</f>
        <v>196.08333333333334</v>
      </c>
      <c r="F61" s="123">
        <f>IF(E61&gt;1,ROUNDUP(E61/$B$9,0),0)</f>
        <v>6</v>
      </c>
      <c r="G61" s="130">
        <f t="shared" ref="G61:G66" si="5">+GETPIVOTDATA("Sum of FTE YR1",$A$25)</f>
        <v>2</v>
      </c>
      <c r="H61" s="130">
        <f t="shared" ref="H61:H66" si="6">+GETPIVOTDATA("Sum of FTE YR2",$A$25)</f>
        <v>2</v>
      </c>
      <c r="I61" s="23"/>
      <c r="J61" s="23"/>
      <c r="K61" s="116">
        <f t="shared" ref="K61:K66" si="7">+G61*F61*12</f>
        <v>144</v>
      </c>
      <c r="L61" s="117">
        <f t="shared" ref="L61:L66" si="8">+H61*F61*12</f>
        <v>144</v>
      </c>
    </row>
    <row r="62" spans="1:12" ht="12" customHeight="1" x14ac:dyDescent="0.25">
      <c r="A62" s="90" t="s">
        <v>50</v>
      </c>
      <c r="B62" s="91">
        <v>7040</v>
      </c>
      <c r="C62" s="126" t="s">
        <v>348</v>
      </c>
      <c r="D62" s="129">
        <f>SUMIFS(tblActual[Actual],tblActual[GL],B62,tblActual[Catg],A62)</f>
        <v>0</v>
      </c>
      <c r="E62" s="123">
        <f t="shared" si="4"/>
        <v>0</v>
      </c>
      <c r="F62" s="123">
        <f t="shared" ref="F62:F66" si="9">IF(E62&gt;1,ROUNDUP(E62/$B$9,0),0)</f>
        <v>0</v>
      </c>
      <c r="G62" s="130">
        <f t="shared" si="5"/>
        <v>2</v>
      </c>
      <c r="H62" s="130">
        <f t="shared" si="6"/>
        <v>2</v>
      </c>
      <c r="I62" s="23"/>
      <c r="J62" s="23"/>
      <c r="K62" s="124">
        <f t="shared" si="7"/>
        <v>0</v>
      </c>
      <c r="L62" s="125">
        <f t="shared" si="8"/>
        <v>0</v>
      </c>
    </row>
    <row r="63" spans="1:12" ht="12" customHeight="1" x14ac:dyDescent="0.25">
      <c r="A63" s="90" t="s">
        <v>50</v>
      </c>
      <c r="B63" s="91">
        <v>7044</v>
      </c>
      <c r="C63" s="126" t="s">
        <v>503</v>
      </c>
      <c r="D63" s="129">
        <f>SUMIFS(tblActual[Actual],tblActual[GL],B63,tblActual[Catg],A63)</f>
        <v>7342</v>
      </c>
      <c r="E63" s="123">
        <f t="shared" ref="E63" si="10">IF(D63&gt;0.01,D63/12,0)</f>
        <v>611.83333333333337</v>
      </c>
      <c r="F63" s="123">
        <f t="shared" ref="F63" si="11">IF(E63&gt;1,ROUNDUP(E63/$B$9,0),0)</f>
        <v>16</v>
      </c>
      <c r="G63" s="130">
        <f t="shared" si="5"/>
        <v>2</v>
      </c>
      <c r="H63" s="130">
        <f t="shared" si="6"/>
        <v>2</v>
      </c>
      <c r="I63" s="23"/>
      <c r="J63" s="23"/>
      <c r="K63" s="124">
        <f t="shared" ref="K63" si="12">+G63*F63*12</f>
        <v>384</v>
      </c>
      <c r="L63" s="125">
        <f t="shared" ref="L63" si="13">+H63*F63*12</f>
        <v>384</v>
      </c>
    </row>
    <row r="64" spans="1:12" ht="12" customHeight="1" x14ac:dyDescent="0.25">
      <c r="A64" s="90" t="s">
        <v>50</v>
      </c>
      <c r="B64" s="91">
        <v>7285</v>
      </c>
      <c r="C64" s="126" t="s">
        <v>349</v>
      </c>
      <c r="D64" s="129">
        <f>SUMIFS(tblActual[Actual],tblActual[GL],B64,tblActual[Catg],A64)</f>
        <v>418</v>
      </c>
      <c r="E64" s="123">
        <f t="shared" si="4"/>
        <v>34.833333333333336</v>
      </c>
      <c r="F64" s="123">
        <f t="shared" si="9"/>
        <v>1</v>
      </c>
      <c r="G64" s="130">
        <f t="shared" si="5"/>
        <v>2</v>
      </c>
      <c r="H64" s="130">
        <f t="shared" si="6"/>
        <v>2</v>
      </c>
      <c r="I64" s="23"/>
      <c r="J64" s="23"/>
      <c r="K64" s="124">
        <f t="shared" si="7"/>
        <v>24</v>
      </c>
      <c r="L64" s="125">
        <f t="shared" si="8"/>
        <v>24</v>
      </c>
    </row>
    <row r="65" spans="1:13" ht="12" customHeight="1" x14ac:dyDescent="0.25">
      <c r="A65" s="90" t="s">
        <v>50</v>
      </c>
      <c r="B65" s="91">
        <v>7290</v>
      </c>
      <c r="C65" s="126" t="s">
        <v>350</v>
      </c>
      <c r="D65" s="129">
        <f>SUMIFS(tblActual[Actual],tblActual[GL],B65,tblActual[Catg],A65)</f>
        <v>0</v>
      </c>
      <c r="E65" s="123">
        <f t="shared" si="4"/>
        <v>0</v>
      </c>
      <c r="F65" s="123">
        <f t="shared" si="9"/>
        <v>0</v>
      </c>
      <c r="G65" s="130">
        <f t="shared" si="5"/>
        <v>2</v>
      </c>
      <c r="H65" s="130">
        <f t="shared" si="6"/>
        <v>2</v>
      </c>
      <c r="I65" s="23"/>
      <c r="J65" s="23"/>
      <c r="K65" s="124">
        <f t="shared" si="7"/>
        <v>0</v>
      </c>
      <c r="L65" s="125">
        <f t="shared" si="8"/>
        <v>0</v>
      </c>
    </row>
    <row r="66" spans="1:13" ht="12" customHeight="1" x14ac:dyDescent="0.25">
      <c r="A66" s="90" t="s">
        <v>50</v>
      </c>
      <c r="B66" s="91">
        <v>7291</v>
      </c>
      <c r="C66" s="126" t="s">
        <v>351</v>
      </c>
      <c r="D66" s="129">
        <f>SUMIFS(tblActual[Actual],tblActual[GL],B66,tblActual[Catg],A66)</f>
        <v>1765</v>
      </c>
      <c r="E66" s="123">
        <f t="shared" si="4"/>
        <v>147.08333333333334</v>
      </c>
      <c r="F66" s="123">
        <f t="shared" si="9"/>
        <v>4</v>
      </c>
      <c r="G66" s="130">
        <f t="shared" si="5"/>
        <v>2</v>
      </c>
      <c r="H66" s="130">
        <f t="shared" si="6"/>
        <v>2</v>
      </c>
      <c r="I66" s="23"/>
      <c r="J66" s="23"/>
      <c r="K66" s="124">
        <f t="shared" si="7"/>
        <v>96</v>
      </c>
      <c r="L66" s="125">
        <f t="shared" si="8"/>
        <v>96</v>
      </c>
    </row>
    <row r="67" spans="1:13" ht="12" customHeight="1" x14ac:dyDescent="0.25">
      <c r="A67" s="71"/>
      <c r="B67" s="72"/>
      <c r="C67" s="72"/>
      <c r="D67" s="72"/>
      <c r="E67" s="72"/>
      <c r="F67" s="72"/>
      <c r="G67" s="244"/>
      <c r="H67" s="244"/>
      <c r="I67" s="23"/>
      <c r="J67" s="23"/>
      <c r="K67" s="245">
        <f>SUM(K61:K66)</f>
        <v>648</v>
      </c>
      <c r="L67" s="245">
        <f>SUM(L61:L66)</f>
        <v>648</v>
      </c>
      <c r="M67" t="s">
        <v>497</v>
      </c>
    </row>
    <row r="68" spans="1:13" x14ac:dyDescent="0.25">
      <c r="A68" s="23"/>
      <c r="B68" s="23"/>
      <c r="C68" s="23"/>
      <c r="D68" s="23"/>
      <c r="E68" s="23"/>
      <c r="F68" s="23"/>
      <c r="G68" s="23"/>
      <c r="H68" s="23"/>
      <c r="I68" s="23"/>
      <c r="J68" s="23"/>
      <c r="K68" s="23"/>
      <c r="L68" s="23"/>
    </row>
    <row r="69" spans="1:13" ht="12" customHeight="1" x14ac:dyDescent="0.25">
      <c r="A69" s="178" t="s">
        <v>200</v>
      </c>
      <c r="B69" s="4"/>
      <c r="C69" s="4"/>
      <c r="D69" s="190"/>
      <c r="E69" s="190"/>
      <c r="F69" s="4"/>
      <c r="G69" s="4"/>
      <c r="H69" s="23"/>
      <c r="I69" s="23"/>
      <c r="J69" s="23"/>
      <c r="K69" s="205"/>
      <c r="L69" s="205"/>
    </row>
    <row r="70" spans="1:13" ht="32.25" customHeight="1" x14ac:dyDescent="0.25">
      <c r="A70" s="73" t="s">
        <v>47</v>
      </c>
      <c r="B70" s="73" t="s">
        <v>48</v>
      </c>
      <c r="C70" s="288" t="s">
        <v>49</v>
      </c>
      <c r="D70" s="288"/>
      <c r="E70" s="288"/>
      <c r="F70" s="288" t="s">
        <v>352</v>
      </c>
      <c r="G70" s="77" t="s">
        <v>353</v>
      </c>
      <c r="H70" s="77" t="s">
        <v>354</v>
      </c>
      <c r="I70" s="23"/>
      <c r="J70" s="23"/>
      <c r="K70" s="168"/>
      <c r="L70" s="169"/>
    </row>
    <row r="71" spans="1:13" ht="12" customHeight="1" x14ac:dyDescent="0.25">
      <c r="A71" s="90" t="s">
        <v>50</v>
      </c>
      <c r="B71" s="91">
        <v>7289</v>
      </c>
      <c r="C71" s="126" t="s">
        <v>355</v>
      </c>
      <c r="D71" s="93"/>
      <c r="E71" s="93"/>
      <c r="F71" s="154">
        <f>Input!D30</f>
        <v>18.66</v>
      </c>
      <c r="G71" s="85">
        <f>+GETPIVOTDATA("Sum of Y1 FTE Months Requested",$A$25)</f>
        <v>18</v>
      </c>
      <c r="H71" s="85">
        <f>+GETPIVOTDATA("Sum of Y2 FTE Months Requested",$A$25)</f>
        <v>24</v>
      </c>
      <c r="I71" s="23"/>
      <c r="J71" s="23" t="s">
        <v>356</v>
      </c>
      <c r="K71" s="124">
        <f>+F71*G71</f>
        <v>335.88</v>
      </c>
      <c r="L71" s="125">
        <f>+F71*H71</f>
        <v>447.84000000000003</v>
      </c>
    </row>
    <row r="72" spans="1:13" x14ac:dyDescent="0.25">
      <c r="A72" s="23"/>
      <c r="B72" s="23"/>
      <c r="C72" s="23"/>
      <c r="D72" s="23"/>
      <c r="E72" s="23"/>
      <c r="F72" s="23"/>
      <c r="G72" s="23"/>
      <c r="H72" s="23"/>
      <c r="I72" s="23"/>
      <c r="J72" s="23"/>
      <c r="K72" s="23"/>
      <c r="L72" s="23"/>
    </row>
    <row r="73" spans="1:13" ht="12" customHeight="1" x14ac:dyDescent="0.25">
      <c r="A73" s="19"/>
      <c r="B73" s="19"/>
      <c r="C73" s="19"/>
      <c r="D73" s="19"/>
      <c r="E73" s="19"/>
      <c r="F73" s="19"/>
      <c r="G73" s="19"/>
      <c r="H73" s="19"/>
      <c r="I73" s="19"/>
      <c r="J73" s="23"/>
      <c r="K73" s="55"/>
      <c r="L73" s="23"/>
    </row>
    <row r="74" spans="1:13" x14ac:dyDescent="0.25">
      <c r="A74" s="127" t="s">
        <v>357</v>
      </c>
      <c r="B74" s="110"/>
      <c r="C74" s="110"/>
      <c r="D74" s="73"/>
      <c r="E74" s="36"/>
      <c r="F74" s="203"/>
      <c r="G74" s="288"/>
      <c r="H74" s="289"/>
      <c r="I74" s="23"/>
      <c r="J74" s="23"/>
      <c r="K74" s="23"/>
      <c r="L74" s="23"/>
    </row>
    <row r="75" spans="1:13" ht="61.5" x14ac:dyDescent="0.25">
      <c r="A75" s="128"/>
      <c r="B75" s="112"/>
      <c r="C75" s="112"/>
      <c r="D75" s="77" t="s">
        <v>358</v>
      </c>
      <c r="E75" s="77" t="s">
        <v>359</v>
      </c>
      <c r="F75" s="114" t="s">
        <v>360</v>
      </c>
      <c r="G75" s="77" t="s">
        <v>359</v>
      </c>
      <c r="H75" s="114" t="s">
        <v>360</v>
      </c>
      <c r="I75" s="23"/>
      <c r="J75" s="23"/>
      <c r="K75" s="78" t="s">
        <v>361</v>
      </c>
      <c r="L75" s="79" t="s">
        <v>361</v>
      </c>
    </row>
    <row r="76" spans="1:13" ht="12" customHeight="1" x14ac:dyDescent="0.25">
      <c r="A76" s="73" t="s">
        <v>47</v>
      </c>
      <c r="B76" s="73" t="s">
        <v>48</v>
      </c>
      <c r="C76" s="288" t="s">
        <v>49</v>
      </c>
      <c r="D76" s="70"/>
      <c r="E76" s="70"/>
      <c r="F76" s="70"/>
      <c r="G76" s="70"/>
      <c r="H76" s="70"/>
      <c r="I76" s="23"/>
      <c r="J76" s="23"/>
      <c r="K76" s="203"/>
      <c r="L76" s="36"/>
    </row>
    <row r="77" spans="1:13" x14ac:dyDescent="0.25">
      <c r="A77" s="80" t="s">
        <v>50</v>
      </c>
      <c r="B77" s="81">
        <v>7110</v>
      </c>
      <c r="C77" s="192" t="s">
        <v>85</v>
      </c>
      <c r="D77" s="193">
        <v>90</v>
      </c>
      <c r="E77" s="193">
        <f>SUMIFS('NEBS 130'!P:P,'NEBS 130'!$B:$B,$B$23,'NEBS 130'!W:W,C77,'NEBS 130'!Z:Z,"Yes")*D77</f>
        <v>90</v>
      </c>
      <c r="F77" s="194">
        <v>2.14</v>
      </c>
      <c r="G77" s="193">
        <f>+E77</f>
        <v>90</v>
      </c>
      <c r="H77" s="194">
        <v>2.14</v>
      </c>
      <c r="I77" s="23"/>
      <c r="J77" s="23" t="s">
        <v>362</v>
      </c>
      <c r="K77" s="116">
        <f>+E77*F77*9</f>
        <v>1733.4</v>
      </c>
      <c r="L77" s="117">
        <f>+G77*H77*12</f>
        <v>2311.2000000000003</v>
      </c>
    </row>
    <row r="78" spans="1:13" ht="13.15" customHeight="1" x14ac:dyDescent="0.25">
      <c r="A78" s="90" t="s">
        <v>50</v>
      </c>
      <c r="B78" s="91">
        <v>7110</v>
      </c>
      <c r="C78" s="195" t="s">
        <v>86</v>
      </c>
      <c r="D78" s="129">
        <v>100</v>
      </c>
      <c r="E78" s="129">
        <f>SUMIFS('NEBS 130'!P:P,'NEBS 130'!$B:$B,$B$23,'NEBS 130'!W:W,C78,'NEBS 130'!Z:Z,"Yes")*D78</f>
        <v>0</v>
      </c>
      <c r="F78" s="54">
        <v>2.14</v>
      </c>
      <c r="G78" s="129">
        <f t="shared" ref="G78:G82" si="14">+E78</f>
        <v>0</v>
      </c>
      <c r="H78" s="54">
        <v>2.14</v>
      </c>
      <c r="I78" s="23"/>
      <c r="J78" s="23" t="s">
        <v>362</v>
      </c>
      <c r="K78" s="116">
        <f>+E78*F78*9</f>
        <v>0</v>
      </c>
      <c r="L78" s="125">
        <f>((SUMIFS($L$25:$L$37,$H$25:$H$37,C78,$E$25:$E$37,"&gt;0")*D78)*H78)</f>
        <v>0</v>
      </c>
    </row>
    <row r="79" spans="1:13" ht="13.15" customHeight="1" x14ac:dyDescent="0.25">
      <c r="A79" s="90" t="s">
        <v>50</v>
      </c>
      <c r="B79" s="91">
        <v>7110</v>
      </c>
      <c r="C79" s="195" t="s">
        <v>87</v>
      </c>
      <c r="D79" s="129">
        <v>130</v>
      </c>
      <c r="E79" s="129">
        <f>SUMIFS('NEBS 130'!P:P,'NEBS 130'!$B:$B,$B$23,'NEBS 130'!W:W,C79,'NEBS 130'!Z:Z,"Yes")*D79</f>
        <v>130</v>
      </c>
      <c r="F79" s="54">
        <v>2.14</v>
      </c>
      <c r="G79" s="129">
        <f t="shared" si="14"/>
        <v>130</v>
      </c>
      <c r="H79" s="54">
        <v>2.14</v>
      </c>
      <c r="I79" s="23"/>
      <c r="J79" s="23" t="s">
        <v>362</v>
      </c>
      <c r="K79" s="116">
        <f>+E79*F79*9</f>
        <v>2503.7999999999997</v>
      </c>
      <c r="L79" s="125">
        <f>+G79*H79*12</f>
        <v>3338.3999999999996</v>
      </c>
    </row>
    <row r="80" spans="1:13" ht="13.15" customHeight="1" x14ac:dyDescent="0.25">
      <c r="A80" s="90" t="s">
        <v>50</v>
      </c>
      <c r="B80" s="91">
        <v>7110</v>
      </c>
      <c r="C80" s="195" t="s">
        <v>88</v>
      </c>
      <c r="D80" s="129">
        <v>200</v>
      </c>
      <c r="E80" s="129">
        <f>SUMIFS('NEBS 130'!P:P,'NEBS 130'!$B:$B,$B$23,'NEBS 130'!W:W,C80,'NEBS 130'!Z:Z,"Yes")*D80</f>
        <v>0</v>
      </c>
      <c r="F80" s="54">
        <v>2.14</v>
      </c>
      <c r="G80" s="129">
        <f t="shared" si="14"/>
        <v>0</v>
      </c>
      <c r="H80" s="54">
        <v>2.14</v>
      </c>
      <c r="I80" s="23"/>
      <c r="J80" s="23" t="s">
        <v>362</v>
      </c>
      <c r="K80" s="116">
        <f>+E80*F80*9</f>
        <v>0</v>
      </c>
      <c r="L80" s="125">
        <f>((SUMIFS($L$25:$L$37,$H$25:$H$37,C80,$E$25:$E$37,"&gt;0")*D80)*H80)</f>
        <v>0</v>
      </c>
    </row>
    <row r="81" spans="1:15" ht="12.6" customHeight="1" x14ac:dyDescent="0.25">
      <c r="A81" s="102" t="s">
        <v>50</v>
      </c>
      <c r="B81" s="103">
        <v>7110</v>
      </c>
      <c r="C81" s="286" t="s">
        <v>363</v>
      </c>
      <c r="D81" s="196"/>
      <c r="E81" s="196">
        <f>SUMIFS('NEBS 130'!P:P,'NEBS 130'!$B:$B,$B$5,'NEBS 130'!W:W,C81,'NEBS 130'!Z:Z,"Yes")*D81</f>
        <v>0</v>
      </c>
      <c r="F81" s="197">
        <v>2.14</v>
      </c>
      <c r="G81" s="196">
        <f t="shared" si="14"/>
        <v>0</v>
      </c>
      <c r="H81" s="197">
        <v>2.14</v>
      </c>
      <c r="I81" s="23"/>
      <c r="J81" s="23" t="s">
        <v>362</v>
      </c>
      <c r="K81" s="116">
        <f>+E81*F81*9</f>
        <v>0</v>
      </c>
      <c r="L81" s="125">
        <f>+G81*H81*12</f>
        <v>0</v>
      </c>
    </row>
    <row r="82" spans="1:15" ht="12.6" customHeight="1" x14ac:dyDescent="0.25">
      <c r="A82" s="216" t="s">
        <v>364</v>
      </c>
      <c r="B82" s="213"/>
      <c r="C82" s="214"/>
      <c r="D82" s="214"/>
      <c r="E82" s="215">
        <f>SUM(E77:E81)</f>
        <v>220</v>
      </c>
      <c r="F82" s="214"/>
      <c r="G82" s="215">
        <f t="shared" si="14"/>
        <v>220</v>
      </c>
      <c r="H82" s="214"/>
      <c r="I82" s="23"/>
      <c r="J82" s="23"/>
      <c r="K82" s="108">
        <f>SUM(K77:K81)</f>
        <v>4237.2</v>
      </c>
      <c r="L82" s="109">
        <f>SUM(L77:L81)</f>
        <v>5649.6</v>
      </c>
    </row>
    <row r="83" spans="1:15" ht="12.6" customHeight="1" x14ac:dyDescent="0.25">
      <c r="A83" s="217"/>
      <c r="B83" s="163"/>
      <c r="C83" s="360"/>
      <c r="D83" s="360"/>
      <c r="E83" s="218"/>
      <c r="F83" s="219"/>
      <c r="G83" s="218"/>
      <c r="H83" s="219"/>
      <c r="I83" s="23"/>
      <c r="J83" s="23"/>
      <c r="K83" s="246"/>
      <c r="L83" s="246"/>
      <c r="N83" s="327"/>
      <c r="O83" s="328"/>
    </row>
    <row r="84" spans="1:15" ht="12.6" customHeight="1" x14ac:dyDescent="0.25">
      <c r="A84" s="80" t="s">
        <v>50</v>
      </c>
      <c r="B84" s="81" t="s">
        <v>183</v>
      </c>
      <c r="C84" s="82" t="s">
        <v>365</v>
      </c>
      <c r="D84" s="220"/>
      <c r="E84" s="220"/>
      <c r="F84" s="220"/>
      <c r="G84" s="220"/>
      <c r="H84" s="220"/>
      <c r="I84" s="23"/>
      <c r="J84" s="23" t="s">
        <v>343</v>
      </c>
      <c r="K84" s="333">
        <v>106</v>
      </c>
      <c r="L84" s="333">
        <v>141</v>
      </c>
    </row>
    <row r="85" spans="1:15" ht="12.6" customHeight="1" x14ac:dyDescent="0.25">
      <c r="A85" s="102" t="s">
        <v>50</v>
      </c>
      <c r="B85" s="103">
        <v>7255</v>
      </c>
      <c r="C85" s="248" t="s">
        <v>365</v>
      </c>
      <c r="D85" s="223"/>
      <c r="E85" s="221"/>
      <c r="F85" s="222"/>
      <c r="G85" s="221"/>
      <c r="H85" s="222"/>
      <c r="I85" s="23"/>
      <c r="J85" s="23" t="s">
        <v>343</v>
      </c>
      <c r="K85" s="333">
        <v>68</v>
      </c>
      <c r="L85" s="333">
        <v>91</v>
      </c>
    </row>
    <row r="86" spans="1:15" ht="12" customHeight="1" x14ac:dyDescent="0.25">
      <c r="A86" s="19"/>
      <c r="B86" s="19"/>
      <c r="C86" s="19"/>
      <c r="D86" s="19"/>
      <c r="E86" s="19"/>
      <c r="F86" s="19"/>
      <c r="G86" s="19"/>
      <c r="H86" s="56"/>
      <c r="I86" s="57"/>
      <c r="J86" s="23"/>
      <c r="K86" s="58"/>
      <c r="L86" s="55"/>
    </row>
    <row r="87" spans="1:15" ht="12" customHeight="1" x14ac:dyDescent="0.25">
      <c r="A87" s="229" t="s">
        <v>366</v>
      </c>
      <c r="B87" s="229"/>
      <c r="C87" s="229"/>
      <c r="D87" s="229"/>
      <c r="E87" s="229"/>
      <c r="F87" s="229"/>
      <c r="G87" s="229"/>
      <c r="H87" s="230"/>
      <c r="I87" s="230"/>
      <c r="J87" s="227"/>
      <c r="K87" s="231">
        <f>SUM(K54:K71,K82,K84,K85)-K67</f>
        <v>5633.2999999999993</v>
      </c>
      <c r="L87" s="231">
        <f>SUM(L54:L71,L82,L84,L85)-L67</f>
        <v>7215.66</v>
      </c>
    </row>
    <row r="88" spans="1:15" ht="12" customHeight="1" x14ac:dyDescent="0.25">
      <c r="A88" s="19"/>
      <c r="B88" s="19"/>
      <c r="C88" s="19"/>
      <c r="D88" s="19"/>
      <c r="E88" s="19"/>
      <c r="F88" s="19"/>
      <c r="G88" s="19"/>
      <c r="H88" s="56"/>
      <c r="I88" s="57"/>
      <c r="J88" s="23"/>
      <c r="K88" s="58"/>
      <c r="L88" s="55"/>
    </row>
    <row r="89" spans="1:15" x14ac:dyDescent="0.25">
      <c r="A89" s="127" t="s">
        <v>367</v>
      </c>
      <c r="B89" s="110"/>
      <c r="C89" s="131"/>
      <c r="D89" s="110"/>
      <c r="E89" s="155"/>
      <c r="F89" s="110"/>
      <c r="G89" s="289"/>
      <c r="H89" s="23"/>
      <c r="I89" s="23"/>
      <c r="J89" s="23"/>
      <c r="K89" s="68" t="str">
        <f>C12</f>
        <v>SFY 2026</v>
      </c>
      <c r="L89" s="67" t="str">
        <f>E12</f>
        <v>SFY 2027</v>
      </c>
    </row>
    <row r="90" spans="1:15" ht="39" x14ac:dyDescent="0.25">
      <c r="A90" s="111"/>
      <c r="B90" s="112"/>
      <c r="C90" s="112"/>
      <c r="D90" s="112"/>
      <c r="E90" s="77" t="s">
        <v>368</v>
      </c>
      <c r="F90" s="77" t="s">
        <v>341</v>
      </c>
      <c r="G90" s="77" t="s">
        <v>342</v>
      </c>
      <c r="H90" s="23"/>
      <c r="I90" s="23"/>
      <c r="J90" s="23"/>
      <c r="K90" s="78" t="s">
        <v>334</v>
      </c>
      <c r="L90" s="79" t="s">
        <v>334</v>
      </c>
    </row>
    <row r="91" spans="1:15" ht="12" customHeight="1" x14ac:dyDescent="0.25">
      <c r="A91" s="73" t="s">
        <v>47</v>
      </c>
      <c r="B91" s="337" t="s">
        <v>49</v>
      </c>
      <c r="C91" s="338"/>
      <c r="D91" s="289"/>
      <c r="E91" s="289"/>
      <c r="F91" s="289"/>
      <c r="G91" s="289"/>
      <c r="H91" s="23"/>
      <c r="I91" s="23"/>
      <c r="J91" s="23"/>
      <c r="K91" s="203"/>
      <c r="L91" s="203"/>
    </row>
    <row r="92" spans="1:15" ht="38.25" customHeight="1" x14ac:dyDescent="0.25">
      <c r="A92" s="119" t="s">
        <v>63</v>
      </c>
      <c r="B92" s="361" t="s">
        <v>369</v>
      </c>
      <c r="C92" s="362"/>
      <c r="D92" s="363"/>
      <c r="E92" s="156">
        <f>Input!E33</f>
        <v>2478</v>
      </c>
      <c r="F92" s="129">
        <f>SUMIFS(E$26:E$38,$B$26:$B$38,"&lt;&gt;Division Head/Deputy/Chief")/2</f>
        <v>2</v>
      </c>
      <c r="G92" s="129">
        <f>SUMIFS(F$26:F$38,$B$26:$B$38,"&lt;&gt;Division Head/Deputy/Chief")/2-F92</f>
        <v>0</v>
      </c>
      <c r="H92" s="23"/>
      <c r="I92" s="23"/>
      <c r="J92" s="23" t="s">
        <v>74</v>
      </c>
      <c r="K92" s="140">
        <f>$E$92*F92</f>
        <v>4956</v>
      </c>
      <c r="L92" s="69">
        <f>+G92*E92</f>
        <v>0</v>
      </c>
    </row>
    <row r="93" spans="1:15" ht="39.6" customHeight="1" x14ac:dyDescent="0.25">
      <c r="A93" s="119" t="s">
        <v>63</v>
      </c>
      <c r="B93" s="364" t="s">
        <v>370</v>
      </c>
      <c r="C93" s="365"/>
      <c r="D93" s="366"/>
      <c r="E93" s="157">
        <f>Input!E34</f>
        <v>3897</v>
      </c>
      <c r="F93" s="129">
        <f>SUMIFS($E$26:$E$38,$B$26:$B$38,"Division Head/Deputy/Chief")/2</f>
        <v>0</v>
      </c>
      <c r="G93" s="129">
        <f>SUMIFS(F26:F38,B26:B38,"Division Head/Deputy/Chief")/2-F93</f>
        <v>0</v>
      </c>
      <c r="H93" s="23"/>
      <c r="I93" s="23"/>
      <c r="J93" s="23" t="s">
        <v>74</v>
      </c>
      <c r="K93" s="132">
        <f>$E$93*F93</f>
        <v>0</v>
      </c>
      <c r="L93" s="133">
        <f>$E$93*G93</f>
        <v>0</v>
      </c>
    </row>
    <row r="94" spans="1:15" ht="12" customHeight="1" x14ac:dyDescent="0.25">
      <c r="A94" s="224" t="s">
        <v>371</v>
      </c>
      <c r="B94" s="225"/>
      <c r="C94" s="225"/>
      <c r="D94" s="225"/>
      <c r="E94" s="225"/>
      <c r="F94" s="225"/>
      <c r="G94" s="225"/>
      <c r="H94" s="227"/>
      <c r="I94" s="227"/>
      <c r="J94" s="227"/>
      <c r="K94" s="228">
        <f>SUM(K92:K93)</f>
        <v>4956</v>
      </c>
      <c r="L94" s="228">
        <f>SUM(L92:L93)</f>
        <v>0</v>
      </c>
    </row>
    <row r="95" spans="1:15" ht="12" customHeight="1" x14ac:dyDescent="0.25">
      <c r="A95" s="19"/>
      <c r="B95" s="19"/>
      <c r="C95" s="19"/>
      <c r="D95" s="19"/>
      <c r="E95" s="19"/>
      <c r="F95" s="19"/>
      <c r="G95" s="19"/>
      <c r="H95" s="19"/>
      <c r="I95" s="19"/>
      <c r="J95" s="23"/>
      <c r="K95" s="55"/>
      <c r="L95" s="23"/>
    </row>
    <row r="96" spans="1:15" ht="12" customHeight="1" x14ac:dyDescent="0.25">
      <c r="A96" s="23"/>
      <c r="B96" s="23"/>
      <c r="C96" s="23"/>
      <c r="D96" s="23"/>
      <c r="E96" s="23"/>
      <c r="F96" s="23"/>
      <c r="G96" s="23"/>
      <c r="H96" s="23"/>
      <c r="I96" s="23"/>
      <c r="J96" s="23"/>
      <c r="K96" s="23"/>
      <c r="L96" s="24"/>
    </row>
    <row r="97" spans="1:12" x14ac:dyDescent="0.25">
      <c r="A97" s="127" t="s">
        <v>372</v>
      </c>
      <c r="B97" s="110"/>
      <c r="C97" s="110"/>
      <c r="D97" s="110"/>
      <c r="E97" s="289"/>
      <c r="F97" s="73"/>
      <c r="G97" s="73"/>
      <c r="H97" s="23"/>
      <c r="I97" s="23"/>
      <c r="J97" s="23"/>
      <c r="K97" s="68" t="str">
        <f>C12</f>
        <v>SFY 2026</v>
      </c>
      <c r="L97" s="67" t="str">
        <f>E12</f>
        <v>SFY 2027</v>
      </c>
    </row>
    <row r="98" spans="1:12" ht="39" x14ac:dyDescent="0.25">
      <c r="A98" s="111" t="s">
        <v>44</v>
      </c>
      <c r="B98" s="112"/>
      <c r="C98" s="112"/>
      <c r="D98" s="77" t="s">
        <v>45</v>
      </c>
      <c r="E98" s="73" t="s">
        <v>46</v>
      </c>
      <c r="F98" s="77" t="s">
        <v>341</v>
      </c>
      <c r="G98" s="77" t="s">
        <v>342</v>
      </c>
      <c r="H98" s="23"/>
      <c r="I98" s="23"/>
      <c r="J98" s="23"/>
      <c r="K98" s="78" t="s">
        <v>334</v>
      </c>
      <c r="L98" s="79" t="s">
        <v>334</v>
      </c>
    </row>
    <row r="99" spans="1:12" ht="12" customHeight="1" x14ac:dyDescent="0.25">
      <c r="A99" s="73" t="s">
        <v>47</v>
      </c>
      <c r="B99" s="73" t="s">
        <v>48</v>
      </c>
      <c r="C99" s="288" t="s">
        <v>49</v>
      </c>
      <c r="D99" s="288"/>
      <c r="E99" s="288"/>
      <c r="F99" s="288"/>
      <c r="G99" s="288"/>
      <c r="H99" s="23"/>
      <c r="I99" s="23"/>
      <c r="J99" s="23"/>
      <c r="K99" s="203"/>
      <c r="L99" s="203"/>
    </row>
    <row r="100" spans="1:12" ht="13.15" customHeight="1" x14ac:dyDescent="0.25">
      <c r="A100" s="80" t="s">
        <v>53</v>
      </c>
      <c r="B100" s="81">
        <v>7554</v>
      </c>
      <c r="C100" s="115" t="s">
        <v>54</v>
      </c>
      <c r="D100" s="83">
        <f>Input!D23</f>
        <v>307.79000000000002</v>
      </c>
      <c r="E100" s="83">
        <f>Input!E23</f>
        <v>307.79000000000002</v>
      </c>
      <c r="F100" s="85">
        <f>+GETPIVOTDATA("Sum of FTE YR1",$A$25)</f>
        <v>2</v>
      </c>
      <c r="G100" s="85">
        <f>+GETPIVOTDATA("Sum of FTE YR2",$A$25)</f>
        <v>2</v>
      </c>
      <c r="H100" s="23"/>
      <c r="I100" s="23"/>
      <c r="J100" s="23" t="s">
        <v>343</v>
      </c>
      <c r="K100" s="116">
        <f>$F100*$D100</f>
        <v>615.58000000000004</v>
      </c>
      <c r="L100" s="117">
        <f>$G100*$E100</f>
        <v>615.58000000000004</v>
      </c>
    </row>
    <row r="101" spans="1:12" ht="13.15" customHeight="1" x14ac:dyDescent="0.25">
      <c r="A101" s="90" t="s">
        <v>53</v>
      </c>
      <c r="B101" s="91">
        <v>7556</v>
      </c>
      <c r="C101" s="118" t="s">
        <v>55</v>
      </c>
      <c r="D101" s="93">
        <f>Input!D24</f>
        <v>108.19</v>
      </c>
      <c r="E101" s="93">
        <f>Input!E24</f>
        <v>108.19</v>
      </c>
      <c r="F101" s="95">
        <f>+GETPIVOTDATA("Sum of FTE YR1",$A$25)</f>
        <v>2</v>
      </c>
      <c r="G101" s="95">
        <f>+GETPIVOTDATA("Sum of FTE YR2",$A$25)</f>
        <v>2</v>
      </c>
      <c r="H101" s="23"/>
      <c r="I101" s="23"/>
      <c r="J101" s="23" t="s">
        <v>343</v>
      </c>
      <c r="K101" s="116">
        <f>$F101*$D101</f>
        <v>216.38</v>
      </c>
      <c r="L101" s="117">
        <f>$G101*$E101</f>
        <v>216.38</v>
      </c>
    </row>
    <row r="102" spans="1:12" ht="13.15" customHeight="1" x14ac:dyDescent="0.25">
      <c r="A102" s="102" t="s">
        <v>53</v>
      </c>
      <c r="B102" s="103">
        <v>7073</v>
      </c>
      <c r="C102" s="191" t="s">
        <v>373</v>
      </c>
      <c r="D102" s="105">
        <f>+'New Staff Software'!C11</f>
        <v>0</v>
      </c>
      <c r="E102" s="105">
        <f>+'New Staff Software'!D11</f>
        <v>0</v>
      </c>
      <c r="F102" s="106">
        <f>+GETPIVOTDATA("Sum of FTE YR1",$A$25)</f>
        <v>2</v>
      </c>
      <c r="G102" s="106">
        <f>+GETPIVOTDATA("Sum of FTE YR2",$A$25)</f>
        <v>2</v>
      </c>
      <c r="H102" s="23"/>
      <c r="I102" s="23"/>
      <c r="J102" s="23" t="s">
        <v>374</v>
      </c>
      <c r="K102" s="116">
        <f>$F102*$D102</f>
        <v>0</v>
      </c>
      <c r="L102" s="117">
        <f>$G102*$E102</f>
        <v>0</v>
      </c>
    </row>
    <row r="103" spans="1:12" x14ac:dyDescent="0.25">
      <c r="A103" s="23"/>
      <c r="B103" s="23"/>
      <c r="C103" s="23"/>
      <c r="D103" s="23"/>
      <c r="E103" s="23"/>
      <c r="F103" s="23"/>
      <c r="G103" s="23"/>
      <c r="H103" s="23"/>
      <c r="I103" s="23"/>
      <c r="J103" s="23"/>
      <c r="K103" s="23"/>
      <c r="L103" s="23"/>
    </row>
    <row r="104" spans="1:12" ht="39" x14ac:dyDescent="0.25">
      <c r="A104" s="111" t="s">
        <v>56</v>
      </c>
      <c r="B104" s="112"/>
      <c r="C104" s="112"/>
      <c r="D104" s="77" t="s">
        <v>57</v>
      </c>
      <c r="E104" s="73" t="s">
        <v>58</v>
      </c>
      <c r="F104" s="77" t="s">
        <v>375</v>
      </c>
      <c r="G104" s="77" t="s">
        <v>375</v>
      </c>
      <c r="H104" s="23"/>
      <c r="I104" s="23"/>
      <c r="J104" s="23"/>
      <c r="K104" s="78" t="s">
        <v>334</v>
      </c>
      <c r="L104" s="79" t="s">
        <v>334</v>
      </c>
    </row>
    <row r="105" spans="1:12" ht="12" customHeight="1" x14ac:dyDescent="0.25">
      <c r="A105" s="73" t="s">
        <v>47</v>
      </c>
      <c r="B105" s="73" t="s">
        <v>48</v>
      </c>
      <c r="C105" s="288" t="s">
        <v>49</v>
      </c>
      <c r="D105" s="288"/>
      <c r="E105" s="288"/>
      <c r="F105" s="288"/>
      <c r="G105" s="288"/>
      <c r="H105" s="23"/>
      <c r="I105" s="23"/>
      <c r="J105" s="23"/>
      <c r="K105" s="203"/>
      <c r="L105" s="203"/>
    </row>
    <row r="106" spans="1:12" ht="13.15" customHeight="1" x14ac:dyDescent="0.25">
      <c r="A106" s="90" t="s">
        <v>53</v>
      </c>
      <c r="B106" s="91">
        <v>7547</v>
      </c>
      <c r="C106" s="126" t="s">
        <v>59</v>
      </c>
      <c r="D106" s="158">
        <f>Input!D27</f>
        <v>34.75</v>
      </c>
      <c r="E106" s="158">
        <f>Input!E27</f>
        <v>34.75</v>
      </c>
      <c r="F106" s="130">
        <f>+GETPIVOTDATA("Sum of Y1 FTE Months Requested",$A$25)</f>
        <v>18</v>
      </c>
      <c r="G106" s="130">
        <f>+GETPIVOTDATA("Sum of Y2 FTE Months Requested",$A$25)</f>
        <v>24</v>
      </c>
      <c r="H106" s="23"/>
      <c r="I106" s="23"/>
      <c r="J106" s="23" t="s">
        <v>356</v>
      </c>
      <c r="K106" s="207">
        <f>$F106*$D106</f>
        <v>625.5</v>
      </c>
      <c r="L106" s="208">
        <f>+G106*E106</f>
        <v>834</v>
      </c>
    </row>
    <row r="107" spans="1:12" ht="13.15" customHeight="1" x14ac:dyDescent="0.25">
      <c r="A107" s="162"/>
      <c r="B107" s="163"/>
      <c r="C107" s="164"/>
      <c r="D107" s="165"/>
      <c r="E107" s="165"/>
      <c r="F107" s="166"/>
      <c r="G107" s="166"/>
      <c r="H107" s="23"/>
      <c r="I107" s="23"/>
      <c r="J107" s="23"/>
      <c r="K107" s="206"/>
      <c r="L107" s="206"/>
    </row>
    <row r="108" spans="1:12" ht="12" customHeight="1" x14ac:dyDescent="0.25">
      <c r="A108" s="232"/>
      <c r="B108" s="233"/>
      <c r="C108" s="234"/>
      <c r="D108" s="235"/>
      <c r="E108" s="236"/>
      <c r="F108" s="237"/>
      <c r="G108" s="238"/>
      <c r="H108" s="23"/>
      <c r="I108" s="23"/>
      <c r="J108" s="23"/>
      <c r="K108" s="238"/>
      <c r="L108" s="238"/>
    </row>
    <row r="109" spans="1:12" ht="12" customHeight="1" x14ac:dyDescent="0.25">
      <c r="A109" s="239" t="s">
        <v>376</v>
      </c>
      <c r="B109" s="240"/>
      <c r="C109" s="240"/>
      <c r="D109" s="240"/>
      <c r="E109" s="240"/>
      <c r="F109" s="240"/>
      <c r="G109" s="240"/>
      <c r="H109" s="227"/>
      <c r="I109" s="227"/>
      <c r="J109" s="227"/>
      <c r="K109" s="241">
        <f>SUM(K100:K107)</f>
        <v>1457.46</v>
      </c>
      <c r="L109" s="241">
        <f>SUM(L100:L107)</f>
        <v>1665.96</v>
      </c>
    </row>
    <row r="110" spans="1:12" ht="12" customHeight="1" x14ac:dyDescent="0.25">
      <c r="A110" s="134"/>
      <c r="B110" s="134"/>
      <c r="C110" s="134"/>
      <c r="D110" s="134"/>
      <c r="E110" s="134"/>
      <c r="F110" s="134"/>
      <c r="G110" s="134"/>
      <c r="H110" s="23"/>
      <c r="I110" s="23"/>
      <c r="J110" s="23"/>
      <c r="K110" s="136"/>
      <c r="L110" s="136"/>
    </row>
    <row r="111" spans="1:12" x14ac:dyDescent="0.25">
      <c r="A111" s="127" t="s">
        <v>377</v>
      </c>
      <c r="B111" s="110"/>
      <c r="C111" s="131"/>
      <c r="D111" s="131"/>
      <c r="E111" s="135"/>
      <c r="F111" s="135"/>
      <c r="G111" s="135"/>
      <c r="H111" s="23"/>
      <c r="I111" s="23"/>
      <c r="J111" s="23"/>
      <c r="K111" s="68" t="str">
        <f>C12</f>
        <v>SFY 2026</v>
      </c>
      <c r="L111" s="67" t="str">
        <f>E12</f>
        <v>SFY 2027</v>
      </c>
    </row>
    <row r="112" spans="1:12" ht="39" x14ac:dyDescent="0.25">
      <c r="A112" s="111" t="s">
        <v>378</v>
      </c>
      <c r="B112" s="112"/>
      <c r="C112" s="112"/>
      <c r="D112" s="139"/>
      <c r="E112" s="77" t="s">
        <v>379</v>
      </c>
      <c r="F112" s="77" t="s">
        <v>341</v>
      </c>
      <c r="G112" s="77" t="s">
        <v>342</v>
      </c>
      <c r="H112" s="23"/>
      <c r="I112" s="23"/>
      <c r="J112" s="23"/>
      <c r="K112" s="78" t="s">
        <v>334</v>
      </c>
      <c r="L112" s="79" t="s">
        <v>334</v>
      </c>
    </row>
    <row r="113" spans="1:12" ht="12" customHeight="1" x14ac:dyDescent="0.25">
      <c r="A113" s="73" t="s">
        <v>47</v>
      </c>
      <c r="B113" s="73" t="s">
        <v>48</v>
      </c>
      <c r="C113" s="367" t="s">
        <v>49</v>
      </c>
      <c r="D113" s="368"/>
      <c r="E113" s="73"/>
      <c r="F113" s="73"/>
      <c r="G113" s="73"/>
      <c r="H113" s="23"/>
      <c r="I113" s="23"/>
      <c r="J113" s="23"/>
      <c r="K113" s="203"/>
      <c r="L113" s="203"/>
    </row>
    <row r="114" spans="1:12" ht="12" customHeight="1" x14ac:dyDescent="0.25">
      <c r="A114" s="80" t="s">
        <v>53</v>
      </c>
      <c r="B114" s="81">
        <v>8371</v>
      </c>
      <c r="C114" s="359" t="s">
        <v>66</v>
      </c>
      <c r="D114" s="359"/>
      <c r="E114" s="198">
        <f>Input!E35</f>
        <v>1579</v>
      </c>
      <c r="F114" s="193">
        <f>SUMIFS('NEBS 130'!P:P,'NEBS 130'!$B:$B,$B$5,'NEBS 130'!$X:$X,"Laptop")</f>
        <v>2</v>
      </c>
      <c r="G114" s="193">
        <f>SUMIFS('NEBS 130'!Q:Q,'NEBS 130'!$B:$B,$B$5,'NEBS 130'!$X:$X,"Laptop")-F114</f>
        <v>0</v>
      </c>
      <c r="H114" s="23"/>
      <c r="I114" s="23"/>
      <c r="J114" s="23" t="s">
        <v>74</v>
      </c>
      <c r="K114" s="137">
        <f>F114*E114</f>
        <v>3158</v>
      </c>
      <c r="L114" s="89">
        <f>G114*E114</f>
        <v>0</v>
      </c>
    </row>
    <row r="115" spans="1:12" ht="12" customHeight="1" x14ac:dyDescent="0.25">
      <c r="A115" s="90" t="s">
        <v>53</v>
      </c>
      <c r="B115" s="91">
        <v>8371</v>
      </c>
      <c r="C115" s="358" t="s">
        <v>67</v>
      </c>
      <c r="D115" s="358"/>
      <c r="E115" s="199">
        <f>Input!E36</f>
        <v>189</v>
      </c>
      <c r="F115" s="129">
        <f>SUMIFS('NEBS 130'!P:P,'NEBS 130'!$B:$B,$B$5,'NEBS 130'!$X:$X,"Laptop")</f>
        <v>2</v>
      </c>
      <c r="G115" s="129">
        <f>SUMIFS('NEBS 130'!Q:Q,'NEBS 130'!$B:$B,$B$5,'NEBS 130'!$X:$X,"Laptop")-F115</f>
        <v>0</v>
      </c>
      <c r="H115" s="23"/>
      <c r="I115" s="23"/>
      <c r="J115" s="23" t="s">
        <v>74</v>
      </c>
      <c r="K115" s="138">
        <f>F115*E115</f>
        <v>378</v>
      </c>
      <c r="L115" s="98">
        <f>G115*E115</f>
        <v>0</v>
      </c>
    </row>
    <row r="116" spans="1:12" ht="12" customHeight="1" x14ac:dyDescent="0.25">
      <c r="A116" s="90" t="s">
        <v>53</v>
      </c>
      <c r="B116" s="91">
        <v>8371</v>
      </c>
      <c r="C116" s="358" t="s">
        <v>68</v>
      </c>
      <c r="D116" s="358"/>
      <c r="E116" s="199">
        <f>Input!E37</f>
        <v>1402</v>
      </c>
      <c r="F116" s="129">
        <f>SUMIFS('NEBS 130'!P:P,'NEBS 130'!$B:$B,$B$5,'NEBS 130'!$X:$X,"Desktop")</f>
        <v>0</v>
      </c>
      <c r="G116" s="129">
        <f>SUMIFS('NEBS 130'!Q:Q,'NEBS 130'!$B:$B,$B$5,'NEBS 130'!$X:$X,"Desktop")-F116</f>
        <v>0</v>
      </c>
      <c r="H116" s="23"/>
      <c r="I116" s="23"/>
      <c r="J116" s="23" t="s">
        <v>74</v>
      </c>
      <c r="K116" s="138">
        <f>F116*E116</f>
        <v>0</v>
      </c>
      <c r="L116" s="98">
        <f>G116*E116</f>
        <v>0</v>
      </c>
    </row>
    <row r="117" spans="1:12" ht="12" customHeight="1" x14ac:dyDescent="0.25">
      <c r="A117" s="90" t="s">
        <v>53</v>
      </c>
      <c r="B117" s="91">
        <v>8371</v>
      </c>
      <c r="C117" s="358" t="s">
        <v>495</v>
      </c>
      <c r="D117" s="358"/>
      <c r="E117" s="199">
        <f>Input!E38</f>
        <v>73</v>
      </c>
      <c r="F117" s="330">
        <v>4</v>
      </c>
      <c r="G117" s="330"/>
      <c r="H117" s="23"/>
      <c r="I117" s="23"/>
      <c r="J117" s="23" t="s">
        <v>74</v>
      </c>
      <c r="K117" s="138">
        <f>F117*E117</f>
        <v>292</v>
      </c>
      <c r="L117" s="98">
        <f>G117*E117</f>
        <v>0</v>
      </c>
    </row>
    <row r="118" spans="1:12" ht="12" customHeight="1" x14ac:dyDescent="0.25">
      <c r="A118" s="90" t="s">
        <v>53</v>
      </c>
      <c r="B118" s="91">
        <v>8371</v>
      </c>
      <c r="C118" s="358" t="s">
        <v>69</v>
      </c>
      <c r="D118" s="358"/>
      <c r="E118" s="199">
        <f>Input!E39</f>
        <v>85</v>
      </c>
      <c r="F118" s="330"/>
      <c r="G118" s="330"/>
      <c r="H118" s="23"/>
      <c r="I118" s="23"/>
      <c r="J118" s="23" t="s">
        <v>74</v>
      </c>
      <c r="K118" s="138">
        <f>F118*E118</f>
        <v>0</v>
      </c>
      <c r="L118" s="98">
        <f>G118*E118</f>
        <v>0</v>
      </c>
    </row>
    <row r="119" spans="1:12" ht="12" customHeight="1" x14ac:dyDescent="0.25">
      <c r="A119" s="90" t="s">
        <v>53</v>
      </c>
      <c r="B119" s="91">
        <v>8371</v>
      </c>
      <c r="C119" s="358" t="s">
        <v>70</v>
      </c>
      <c r="D119" s="358"/>
      <c r="E119" s="199">
        <f>Input!E40</f>
        <v>2880</v>
      </c>
      <c r="F119" s="129"/>
      <c r="G119" s="129"/>
      <c r="H119" s="23"/>
      <c r="I119" s="23"/>
      <c r="J119" s="23" t="s">
        <v>74</v>
      </c>
      <c r="K119" s="138">
        <f>IF(F119&gt;14.9,(ROUNDDOWN((F119/15),0)*$E$119),0)</f>
        <v>0</v>
      </c>
      <c r="L119" s="98">
        <f>IF(G119&gt;4.9,(ROUNDDOWN((G119/5),0)*$E$119),IF(F119&lt;15,IF((SUM(F119:G119)&gt;14.9),(ROUNDDOWN(SUM(F119:G119)/15,0)*$E$119),0),0))</f>
        <v>0</v>
      </c>
    </row>
    <row r="120" spans="1:12" ht="12" customHeight="1" x14ac:dyDescent="0.25">
      <c r="A120" s="90" t="s">
        <v>53</v>
      </c>
      <c r="B120" s="91">
        <v>7771</v>
      </c>
      <c r="C120" s="358" t="s">
        <v>380</v>
      </c>
      <c r="D120" s="358"/>
      <c r="E120" s="199">
        <f>+'New Staff Software'!C20</f>
        <v>0</v>
      </c>
      <c r="F120" s="129">
        <f>+GETPIVOTDATA("Sum of FTE YR1",$A$25)</f>
        <v>2</v>
      </c>
      <c r="G120" s="129">
        <f>+GETPIVOTDATA("Sum of FTE YR2",$A$25)</f>
        <v>2</v>
      </c>
      <c r="H120" s="23"/>
      <c r="I120" s="23"/>
      <c r="J120" s="23" t="s">
        <v>74</v>
      </c>
      <c r="K120" s="138">
        <f>+F120*E120</f>
        <v>0</v>
      </c>
      <c r="L120" s="98">
        <f>+G120*E120</f>
        <v>0</v>
      </c>
    </row>
    <row r="121" spans="1:12" ht="12" customHeight="1" x14ac:dyDescent="0.25">
      <c r="A121" s="102" t="s">
        <v>50</v>
      </c>
      <c r="B121" s="103">
        <v>7460</v>
      </c>
      <c r="C121" s="357" t="s">
        <v>496</v>
      </c>
      <c r="D121" s="357"/>
      <c r="E121" s="200"/>
      <c r="F121" s="330">
        <v>200</v>
      </c>
      <c r="G121" s="331">
        <v>200</v>
      </c>
      <c r="H121" s="23"/>
      <c r="I121" s="23"/>
      <c r="J121" s="23" t="s">
        <v>74</v>
      </c>
      <c r="K121" s="138">
        <f>+F121</f>
        <v>200</v>
      </c>
      <c r="L121" s="98">
        <f>+G121</f>
        <v>200</v>
      </c>
    </row>
    <row r="122" spans="1:12" ht="12" customHeight="1" x14ac:dyDescent="0.25">
      <c r="A122" s="239" t="s">
        <v>381</v>
      </c>
      <c r="B122" s="240"/>
      <c r="C122" s="240"/>
      <c r="D122" s="240"/>
      <c r="E122" s="240"/>
      <c r="F122" s="240"/>
      <c r="G122" s="240"/>
      <c r="H122" s="227"/>
      <c r="I122" s="227"/>
      <c r="J122" s="227"/>
      <c r="K122" s="242">
        <f>SUM(K114:K121)</f>
        <v>4028</v>
      </c>
      <c r="L122" s="242">
        <f>SUM(L114:L121)</f>
        <v>200</v>
      </c>
    </row>
    <row r="123" spans="1:12" x14ac:dyDescent="0.25">
      <c r="A123" s="23"/>
      <c r="B123" s="23"/>
      <c r="C123" s="23"/>
      <c r="D123" s="23"/>
      <c r="E123" s="23"/>
      <c r="F123" s="23"/>
      <c r="G123" s="23"/>
      <c r="H123" s="23"/>
      <c r="I123" s="23"/>
      <c r="J123" s="23"/>
      <c r="K123" s="24"/>
      <c r="L123" s="23"/>
    </row>
    <row r="127" spans="1:12" ht="12" customHeight="1" x14ac:dyDescent="0.25"/>
    <row r="128" spans="1:12" ht="12" customHeight="1" x14ac:dyDescent="0.25"/>
  </sheetData>
  <mergeCells count="13">
    <mergeCell ref="C114:D114"/>
    <mergeCell ref="C83:D83"/>
    <mergeCell ref="B91:C91"/>
    <mergeCell ref="B92:D92"/>
    <mergeCell ref="B93:D93"/>
    <mergeCell ref="C113:D113"/>
    <mergeCell ref="C121:D121"/>
    <mergeCell ref="C115:D115"/>
    <mergeCell ref="C116:D116"/>
    <mergeCell ref="C117:D117"/>
    <mergeCell ref="C118:D118"/>
    <mergeCell ref="C119:D119"/>
    <mergeCell ref="C120:D120"/>
  </mergeCells>
  <pageMargins left="0" right="0" top="0.25" bottom="0" header="0.3" footer="0.3"/>
  <pageSetup paperSize="5" scale="65" fitToHeight="2" orientation="landscape" r:id="rId2"/>
  <rowBreaks count="2" manualBreakCount="2">
    <brk id="50" max="11" man="1"/>
    <brk id="8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ABB7B-9CAA-4706-BB7F-15F73BD7713A}">
  <sheetPr>
    <tabColor rgb="FF00B050"/>
  </sheetPr>
  <dimension ref="A1"/>
  <sheetViews>
    <sheetView workbookViewId="0">
      <selection activeCell="D8" sqref="D8"/>
    </sheetView>
  </sheetViews>
  <sheetFormatPr defaultRowHeight="15" x14ac:dyDescent="0.25"/>
  <sheetData>
    <row r="1" spans="1:1" x14ac:dyDescent="0.25">
      <c r="A1" t="s">
        <v>310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cda58ac-36fc-4c0a-913e-42cc4091fd61" xsi:nil="true"/>
    <lcf76f155ced4ddcb4097134ff3c332f xmlns="ad2ef780-825e-4f84-991a-43ca0009d5c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F2D147E68914BB0ED6207E196A3A3" ma:contentTypeVersion="13" ma:contentTypeDescription="Create a new document." ma:contentTypeScope="" ma:versionID="0f1333794ce4f742d979a6b7867adfc4">
  <xsd:schema xmlns:xsd="http://www.w3.org/2001/XMLSchema" xmlns:xs="http://www.w3.org/2001/XMLSchema" xmlns:p="http://schemas.microsoft.com/office/2006/metadata/properties" xmlns:ns2="ad2ef780-825e-4f84-991a-43ca0009d5c7" xmlns:ns3="ecda58ac-36fc-4c0a-913e-42cc4091fd61" targetNamespace="http://schemas.microsoft.com/office/2006/metadata/properties" ma:root="true" ma:fieldsID="f601de1c3560c36df38386a043dfccf4" ns2:_="" ns3:_="">
    <xsd:import namespace="ad2ef780-825e-4f84-991a-43ca0009d5c7"/>
    <xsd:import namespace="ecda58ac-36fc-4c0a-913e-42cc4091fd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2ef780-825e-4f84-991a-43ca0009d5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da58ac-36fc-4c0a-913e-42cc4091fd6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beec1d0f-ceba-44f3-889e-b5edc5e3ca42}" ma:internalName="TaxCatchAll" ma:showField="CatchAllData" ma:web="ecda58ac-36fc-4c0a-913e-42cc4091fd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4E0915-5AB1-4439-AE1B-913A47967DB0}">
  <ds:schemaRefs>
    <ds:schemaRef ds:uri="http://schemas.microsoft.com/sharepoint/v3/contenttype/forms"/>
  </ds:schemaRefs>
</ds:datastoreItem>
</file>

<file path=customXml/itemProps2.xml><?xml version="1.0" encoding="utf-8"?>
<ds:datastoreItem xmlns:ds="http://schemas.openxmlformats.org/officeDocument/2006/customXml" ds:itemID="{3200BD38-0E54-45BC-9462-5E583A7E3D21}">
  <ds:schemaRefs>
    <ds:schemaRef ds:uri="http://purl.org/dc/terms/"/>
    <ds:schemaRef ds:uri="http://purl.org/dc/dcmitype/"/>
    <ds:schemaRef ds:uri="ecda58ac-36fc-4c0a-913e-42cc4091fd61"/>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ad2ef780-825e-4f84-991a-43ca0009d5c7"/>
    <ds:schemaRef ds:uri="http://www.w3.org/XML/1998/namespace"/>
  </ds:schemaRefs>
</ds:datastoreItem>
</file>

<file path=customXml/itemProps3.xml><?xml version="1.0" encoding="utf-8"?>
<ds:datastoreItem xmlns:ds="http://schemas.openxmlformats.org/officeDocument/2006/customXml" ds:itemID="{BFD80F5B-CA65-4E1B-B205-C8FDD1AC5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2ef780-825e-4f84-991a-43ca0009d5c7"/>
    <ds:schemaRef ds:uri="ecda58ac-36fc-4c0a-913e-42cc4091fd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Input</vt:lpstr>
      <vt:lpstr>NEBS Actuals</vt:lpstr>
      <vt:lpstr>NEBS 130</vt:lpstr>
      <vt:lpstr>New Staff Software</vt:lpstr>
      <vt:lpstr>Summary Template</vt:lpstr>
      <vt:lpstr>start</vt:lpstr>
      <vt:lpstr>DU E300</vt:lpstr>
      <vt:lpstr>finish</vt:lpstr>
      <vt:lpstr>'DU E300'!Location</vt:lpstr>
      <vt:lpstr>'DU E300'!Print_Area</vt:lpstr>
      <vt:lpstr>Instructions!Print_Area</vt:lpstr>
      <vt:lpstr>'Summary Template'!Print_Area</vt:lpstr>
      <vt:lpstr>'DU E300'!Print_Titles</vt:lpstr>
    </vt:vector>
  </TitlesOfParts>
  <Manager/>
  <Company>Div for Aging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khawkins@adsd.nv.gov</dc:creator>
  <cp:keywords/>
  <dc:description/>
  <cp:lastModifiedBy>Philene E. O'Keefe</cp:lastModifiedBy>
  <cp:revision/>
  <cp:lastPrinted>2024-04-22T18:22:31Z</cp:lastPrinted>
  <dcterms:created xsi:type="dcterms:W3CDTF">2010-07-24T19:22:38Z</dcterms:created>
  <dcterms:modified xsi:type="dcterms:W3CDTF">2024-05-17T14:47:09Z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0x01010063AF2D147E68914BB0ED6207E196A3A3</vt:lpwstr>
  </property>
</Properties>
</file>